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Z:\Projekty\2024\24-099 Stavební úpravy garáží, skladů, SOŠ a SOU Kladno\"/>
    </mc:Choice>
  </mc:AlternateContent>
  <xr:revisionPtr revIDLastSave="0" documentId="13_ncr:1_{D905CDD1-865E-42D0-9836-598C1E782DCA}" xr6:coauthVersionLast="47" xr6:coauthVersionMax="47" xr10:uidLastSave="{00000000-0000-0000-0000-000000000000}"/>
  <bookViews>
    <workbookView xWindow="3675" yWindow="3045" windowWidth="21600" windowHeight="12690" xr2:uid="{00000000-000D-0000-FFFF-FFFF00000000}"/>
  </bookViews>
  <sheets>
    <sheet name="Stavební rozpočet" sheetId="1" r:id="rId1"/>
    <sheet name="Stavební rozpočet - součet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I35" i="4" l="1"/>
  <c r="I36" i="4" s="1"/>
  <c r="I26" i="4"/>
  <c r="I25" i="4"/>
  <c r="I18" i="3" s="1"/>
  <c r="I24" i="4"/>
  <c r="I17" i="3" s="1"/>
  <c r="I23" i="4"/>
  <c r="I16" i="3" s="1"/>
  <c r="I22" i="4"/>
  <c r="I15" i="3" s="1"/>
  <c r="I21" i="4"/>
  <c r="I17" i="4"/>
  <c r="I16" i="4"/>
  <c r="I15" i="4"/>
  <c r="F14" i="3" s="1"/>
  <c r="I10" i="4"/>
  <c r="F10" i="4"/>
  <c r="C10" i="4"/>
  <c r="F8" i="4"/>
  <c r="C8" i="4"/>
  <c r="F6" i="4"/>
  <c r="C6" i="4"/>
  <c r="F4" i="4"/>
  <c r="C4" i="4"/>
  <c r="F2" i="4"/>
  <c r="C2" i="4"/>
  <c r="I24" i="3"/>
  <c r="I19" i="3"/>
  <c r="F16" i="3"/>
  <c r="F15" i="3"/>
  <c r="I14" i="3"/>
  <c r="I10" i="3"/>
  <c r="F10" i="3"/>
  <c r="C10" i="3"/>
  <c r="F8" i="3"/>
  <c r="C8" i="3"/>
  <c r="F6" i="3"/>
  <c r="C6" i="3"/>
  <c r="F4" i="3"/>
  <c r="C4" i="3"/>
  <c r="F2" i="3"/>
  <c r="C2" i="3"/>
  <c r="G8" i="2"/>
  <c r="C8" i="2"/>
  <c r="G6" i="2"/>
  <c r="C6" i="2"/>
  <c r="G4" i="2"/>
  <c r="C4" i="2"/>
  <c r="G2" i="2"/>
  <c r="C2" i="2"/>
  <c r="BJ192" i="1"/>
  <c r="BF192" i="1"/>
  <c r="BD192" i="1"/>
  <c r="AP192" i="1"/>
  <c r="BI192" i="1" s="1"/>
  <c r="AG192" i="1" s="1"/>
  <c r="AO192" i="1"/>
  <c r="AW192" i="1" s="1"/>
  <c r="AK192" i="1"/>
  <c r="AT191" i="1" s="1"/>
  <c r="AJ192" i="1"/>
  <c r="AS191" i="1" s="1"/>
  <c r="AH192" i="1"/>
  <c r="AE192" i="1"/>
  <c r="AD192" i="1"/>
  <c r="AC192" i="1"/>
  <c r="AB192" i="1"/>
  <c r="Z192" i="1"/>
  <c r="J192" i="1"/>
  <c r="AL192" i="1" s="1"/>
  <c r="AU191" i="1" s="1"/>
  <c r="I192" i="1"/>
  <c r="J191" i="1"/>
  <c r="G36" i="2" s="1"/>
  <c r="I36" i="2" s="1"/>
  <c r="I191" i="1"/>
  <c r="F36" i="2" s="1"/>
  <c r="BJ190" i="1"/>
  <c r="BI190" i="1"/>
  <c r="AC190" i="1" s="1"/>
  <c r="BF190" i="1"/>
  <c r="BD190" i="1"/>
  <c r="AW190" i="1"/>
  <c r="AP190" i="1"/>
  <c r="AX190" i="1" s="1"/>
  <c r="AO190" i="1"/>
  <c r="BH190" i="1" s="1"/>
  <c r="AB190" i="1" s="1"/>
  <c r="AL190" i="1"/>
  <c r="AK190" i="1"/>
  <c r="AJ190" i="1"/>
  <c r="AH190" i="1"/>
  <c r="AG190" i="1"/>
  <c r="AF190" i="1"/>
  <c r="AE190" i="1"/>
  <c r="AD190" i="1"/>
  <c r="Z190" i="1"/>
  <c r="J190" i="1"/>
  <c r="I190" i="1"/>
  <c r="H190" i="1"/>
  <c r="AU189" i="1"/>
  <c r="AT189" i="1"/>
  <c r="AS189" i="1"/>
  <c r="J189" i="1"/>
  <c r="G35" i="2" s="1"/>
  <c r="I35" i="2" s="1"/>
  <c r="I189" i="1"/>
  <c r="F35" i="2" s="1"/>
  <c r="H189" i="1"/>
  <c r="E35" i="2" s="1"/>
  <c r="BJ188" i="1"/>
  <c r="BF188" i="1"/>
  <c r="BD188" i="1"/>
  <c r="AX188" i="1"/>
  <c r="AP188" i="1"/>
  <c r="BI188" i="1" s="1"/>
  <c r="AE188" i="1" s="1"/>
  <c r="AO188" i="1"/>
  <c r="AW188" i="1" s="1"/>
  <c r="AK188" i="1"/>
  <c r="AJ188" i="1"/>
  <c r="AH188" i="1"/>
  <c r="AG188" i="1"/>
  <c r="AF188" i="1"/>
  <c r="AC188" i="1"/>
  <c r="AB188" i="1"/>
  <c r="Z188" i="1"/>
  <c r="J188" i="1"/>
  <c r="AL188" i="1" s="1"/>
  <c r="I188" i="1"/>
  <c r="H188" i="1"/>
  <c r="BJ187" i="1"/>
  <c r="BF187" i="1"/>
  <c r="BD187" i="1"/>
  <c r="AP187" i="1"/>
  <c r="AX187" i="1" s="1"/>
  <c r="AO187" i="1"/>
  <c r="AK187" i="1"/>
  <c r="AJ187" i="1"/>
  <c r="AH187" i="1"/>
  <c r="AG187" i="1"/>
  <c r="AF187" i="1"/>
  <c r="AC187" i="1"/>
  <c r="AB187" i="1"/>
  <c r="Z187" i="1"/>
  <c r="J187" i="1"/>
  <c r="I187" i="1"/>
  <c r="H187" i="1"/>
  <c r="BJ186" i="1"/>
  <c r="BF186" i="1"/>
  <c r="BD186" i="1"/>
  <c r="AP186" i="1"/>
  <c r="AO186" i="1"/>
  <c r="AK186" i="1"/>
  <c r="AJ186" i="1"/>
  <c r="AH186" i="1"/>
  <c r="AG186" i="1"/>
  <c r="AF186" i="1"/>
  <c r="AC186" i="1"/>
  <c r="AB186" i="1"/>
  <c r="Z186" i="1"/>
  <c r="J186" i="1"/>
  <c r="AL186" i="1" s="1"/>
  <c r="H186" i="1"/>
  <c r="AS185" i="1"/>
  <c r="BJ184" i="1"/>
  <c r="Z184" i="1" s="1"/>
  <c r="BF184" i="1"/>
  <c r="BD184" i="1"/>
  <c r="AP184" i="1"/>
  <c r="AO184" i="1"/>
  <c r="AW184" i="1" s="1"/>
  <c r="AK184" i="1"/>
  <c r="AJ184" i="1"/>
  <c r="AH184" i="1"/>
  <c r="AG184" i="1"/>
  <c r="AF184" i="1"/>
  <c r="AE184" i="1"/>
  <c r="AD184" i="1"/>
  <c r="AC184" i="1"/>
  <c r="AB184" i="1"/>
  <c r="J184" i="1"/>
  <c r="AL184" i="1" s="1"/>
  <c r="I184" i="1"/>
  <c r="H184" i="1"/>
  <c r="BJ182" i="1"/>
  <c r="BF182" i="1"/>
  <c r="BD182" i="1"/>
  <c r="AP182" i="1"/>
  <c r="AO182" i="1"/>
  <c r="AK182" i="1"/>
  <c r="AJ182" i="1"/>
  <c r="AH182" i="1"/>
  <c r="AG182" i="1"/>
  <c r="AF182" i="1"/>
  <c r="AC182" i="1"/>
  <c r="AB182" i="1"/>
  <c r="Z182" i="1"/>
  <c r="J182" i="1"/>
  <c r="AL182" i="1" s="1"/>
  <c r="BJ181" i="1"/>
  <c r="BF181" i="1"/>
  <c r="BD181" i="1"/>
  <c r="AP181" i="1"/>
  <c r="BI181" i="1" s="1"/>
  <c r="AE181" i="1" s="1"/>
  <c r="AO181" i="1"/>
  <c r="AK181" i="1"/>
  <c r="AJ181" i="1"/>
  <c r="AH181" i="1"/>
  <c r="AG181" i="1"/>
  <c r="AF181" i="1"/>
  <c r="AC181" i="1"/>
  <c r="AB181" i="1"/>
  <c r="Z181" i="1"/>
  <c r="J181" i="1"/>
  <c r="AL181" i="1" s="1"/>
  <c r="BJ180" i="1"/>
  <c r="BI180" i="1"/>
  <c r="AE180" i="1" s="1"/>
  <c r="BF180" i="1"/>
  <c r="BD180" i="1"/>
  <c r="AP180" i="1"/>
  <c r="AX180" i="1" s="1"/>
  <c r="AO180" i="1"/>
  <c r="AL180" i="1"/>
  <c r="AK180" i="1"/>
  <c r="AJ180" i="1"/>
  <c r="AH180" i="1"/>
  <c r="AG180" i="1"/>
  <c r="AF180" i="1"/>
  <c r="AC180" i="1"/>
  <c r="AB180" i="1"/>
  <c r="Z180" i="1"/>
  <c r="J180" i="1"/>
  <c r="I180" i="1"/>
  <c r="H180" i="1"/>
  <c r="BJ179" i="1"/>
  <c r="BF179" i="1"/>
  <c r="BD179" i="1"/>
  <c r="AP179" i="1"/>
  <c r="BI179" i="1" s="1"/>
  <c r="AE179" i="1" s="1"/>
  <c r="AO179" i="1"/>
  <c r="AK179" i="1"/>
  <c r="AT175" i="1" s="1"/>
  <c r="AJ179" i="1"/>
  <c r="AH179" i="1"/>
  <c r="AG179" i="1"/>
  <c r="AF179" i="1"/>
  <c r="AC179" i="1"/>
  <c r="AB179" i="1"/>
  <c r="Z179" i="1"/>
  <c r="J179" i="1"/>
  <c r="AL179" i="1" s="1"/>
  <c r="BJ177" i="1"/>
  <c r="BF177" i="1"/>
  <c r="BD177" i="1"/>
  <c r="AP177" i="1"/>
  <c r="AO177" i="1"/>
  <c r="BH177" i="1" s="1"/>
  <c r="AD177" i="1" s="1"/>
  <c r="AL177" i="1"/>
  <c r="AK177" i="1"/>
  <c r="AJ177" i="1"/>
  <c r="AH177" i="1"/>
  <c r="AG177" i="1"/>
  <c r="AF177" i="1"/>
  <c r="AC177" i="1"/>
  <c r="AB177" i="1"/>
  <c r="Z177" i="1"/>
  <c r="J177" i="1"/>
  <c r="BJ176" i="1"/>
  <c r="BF176" i="1"/>
  <c r="BD176" i="1"/>
  <c r="AX176" i="1"/>
  <c r="AP176" i="1"/>
  <c r="BI176" i="1" s="1"/>
  <c r="AE176" i="1" s="1"/>
  <c r="AO176" i="1"/>
  <c r="AW176" i="1" s="1"/>
  <c r="AK176" i="1"/>
  <c r="AJ176" i="1"/>
  <c r="AH176" i="1"/>
  <c r="AG176" i="1"/>
  <c r="AF176" i="1"/>
  <c r="AC176" i="1"/>
  <c r="AB176" i="1"/>
  <c r="Z176" i="1"/>
  <c r="J176" i="1"/>
  <c r="I176" i="1"/>
  <c r="H176" i="1"/>
  <c r="BJ174" i="1"/>
  <c r="Z174" i="1" s="1"/>
  <c r="BF174" i="1"/>
  <c r="BD174" i="1"/>
  <c r="AW174" i="1"/>
  <c r="AP174" i="1"/>
  <c r="AO174" i="1"/>
  <c r="BH174" i="1" s="1"/>
  <c r="AL174" i="1"/>
  <c r="AK174" i="1"/>
  <c r="AJ174" i="1"/>
  <c r="AH174" i="1"/>
  <c r="AG174" i="1"/>
  <c r="AF174" i="1"/>
  <c r="AE174" i="1"/>
  <c r="AD174" i="1"/>
  <c r="AC174" i="1"/>
  <c r="AB174" i="1"/>
  <c r="J174" i="1"/>
  <c r="I174" i="1"/>
  <c r="H174" i="1"/>
  <c r="BJ172" i="1"/>
  <c r="BF172" i="1"/>
  <c r="BD172" i="1"/>
  <c r="AP172" i="1"/>
  <c r="BI172" i="1" s="1"/>
  <c r="AE172" i="1" s="1"/>
  <c r="AO172" i="1"/>
  <c r="AK172" i="1"/>
  <c r="AJ172" i="1"/>
  <c r="AH172" i="1"/>
  <c r="AG172" i="1"/>
  <c r="AF172" i="1"/>
  <c r="AC172" i="1"/>
  <c r="AB172" i="1"/>
  <c r="Z172" i="1"/>
  <c r="J172" i="1"/>
  <c r="AL172" i="1" s="1"/>
  <c r="BJ171" i="1"/>
  <c r="BF171" i="1"/>
  <c r="BD171" i="1"/>
  <c r="AP171" i="1"/>
  <c r="AO171" i="1"/>
  <c r="BH171" i="1" s="1"/>
  <c r="AD171" i="1" s="1"/>
  <c r="AL171" i="1"/>
  <c r="AK171" i="1"/>
  <c r="AJ171" i="1"/>
  <c r="AH171" i="1"/>
  <c r="AG171" i="1"/>
  <c r="AF171" i="1"/>
  <c r="AC171" i="1"/>
  <c r="AB171" i="1"/>
  <c r="Z171" i="1"/>
  <c r="J171" i="1"/>
  <c r="BJ170" i="1"/>
  <c r="BF170" i="1"/>
  <c r="BD170" i="1"/>
  <c r="AX170" i="1"/>
  <c r="AP170" i="1"/>
  <c r="BI170" i="1" s="1"/>
  <c r="AE170" i="1" s="1"/>
  <c r="AO170" i="1"/>
  <c r="AW170" i="1" s="1"/>
  <c r="AK170" i="1"/>
  <c r="AJ170" i="1"/>
  <c r="AH170" i="1"/>
  <c r="AG170" i="1"/>
  <c r="AF170" i="1"/>
  <c r="AC170" i="1"/>
  <c r="AB170" i="1"/>
  <c r="Z170" i="1"/>
  <c r="J170" i="1"/>
  <c r="I170" i="1"/>
  <c r="H170" i="1"/>
  <c r="BJ169" i="1"/>
  <c r="BI169" i="1"/>
  <c r="AE169" i="1" s="1"/>
  <c r="BF169" i="1"/>
  <c r="BD169" i="1"/>
  <c r="AW169" i="1"/>
  <c r="AP169" i="1"/>
  <c r="AX169" i="1" s="1"/>
  <c r="AO169" i="1"/>
  <c r="BH169" i="1" s="1"/>
  <c r="AD169" i="1" s="1"/>
  <c r="AL169" i="1"/>
  <c r="AK169" i="1"/>
  <c r="AJ169" i="1"/>
  <c r="AH169" i="1"/>
  <c r="AG169" i="1"/>
  <c r="AF169" i="1"/>
  <c r="AC169" i="1"/>
  <c r="AB169" i="1"/>
  <c r="Z169" i="1"/>
  <c r="J169" i="1"/>
  <c r="I169" i="1"/>
  <c r="H169" i="1"/>
  <c r="BJ167" i="1"/>
  <c r="Z167" i="1" s="1"/>
  <c r="BF167" i="1"/>
  <c r="BD167" i="1"/>
  <c r="AX167" i="1"/>
  <c r="AP167" i="1"/>
  <c r="BI167" i="1" s="1"/>
  <c r="AO167" i="1"/>
  <c r="AW167" i="1" s="1"/>
  <c r="AK167" i="1"/>
  <c r="AJ167" i="1"/>
  <c r="AH167" i="1"/>
  <c r="AG167" i="1"/>
  <c r="AF167" i="1"/>
  <c r="AE167" i="1"/>
  <c r="AD167" i="1"/>
  <c r="AC167" i="1"/>
  <c r="AB167" i="1"/>
  <c r="J167" i="1"/>
  <c r="I167" i="1"/>
  <c r="H167" i="1"/>
  <c r="BJ165" i="1"/>
  <c r="BI165" i="1"/>
  <c r="AE165" i="1" s="1"/>
  <c r="BF165" i="1"/>
  <c r="BD165" i="1"/>
  <c r="AP165" i="1"/>
  <c r="AX165" i="1" s="1"/>
  <c r="AO165" i="1"/>
  <c r="BH165" i="1" s="1"/>
  <c r="AD165" i="1" s="1"/>
  <c r="AL165" i="1"/>
  <c r="AK165" i="1"/>
  <c r="AJ165" i="1"/>
  <c r="AH165" i="1"/>
  <c r="AG165" i="1"/>
  <c r="AF165" i="1"/>
  <c r="AC165" i="1"/>
  <c r="AB165" i="1"/>
  <c r="Z165" i="1"/>
  <c r="J165" i="1"/>
  <c r="I165" i="1"/>
  <c r="BJ164" i="1"/>
  <c r="BF164" i="1"/>
  <c r="BD164" i="1"/>
  <c r="AP164" i="1"/>
  <c r="BI164" i="1" s="1"/>
  <c r="AE164" i="1" s="1"/>
  <c r="AO164" i="1"/>
  <c r="AW164" i="1" s="1"/>
  <c r="AK164" i="1"/>
  <c r="AJ164" i="1"/>
  <c r="AH164" i="1"/>
  <c r="AG164" i="1"/>
  <c r="AF164" i="1"/>
  <c r="AC164" i="1"/>
  <c r="AB164" i="1"/>
  <c r="Z164" i="1"/>
  <c r="J164" i="1"/>
  <c r="AL164" i="1" s="1"/>
  <c r="I164" i="1"/>
  <c r="BJ162" i="1"/>
  <c r="Z162" i="1" s="1"/>
  <c r="BI162" i="1"/>
  <c r="BF162" i="1"/>
  <c r="BD162" i="1"/>
  <c r="AP162" i="1"/>
  <c r="AX162" i="1" s="1"/>
  <c r="AO162" i="1"/>
  <c r="AL162" i="1"/>
  <c r="AK162" i="1"/>
  <c r="AJ162" i="1"/>
  <c r="AH162" i="1"/>
  <c r="AG162" i="1"/>
  <c r="AF162" i="1"/>
  <c r="AE162" i="1"/>
  <c r="AD162" i="1"/>
  <c r="AC162" i="1"/>
  <c r="AB162" i="1"/>
  <c r="J162" i="1"/>
  <c r="I162" i="1"/>
  <c r="BJ160" i="1"/>
  <c r="BF160" i="1"/>
  <c r="BD160" i="1"/>
  <c r="AP160" i="1"/>
  <c r="BI160" i="1" s="1"/>
  <c r="AE160" i="1" s="1"/>
  <c r="AO160" i="1"/>
  <c r="AW160" i="1" s="1"/>
  <c r="AK160" i="1"/>
  <c r="AJ160" i="1"/>
  <c r="AH160" i="1"/>
  <c r="AG160" i="1"/>
  <c r="AF160" i="1"/>
  <c r="AC160" i="1"/>
  <c r="AB160" i="1"/>
  <c r="Z160" i="1"/>
  <c r="J160" i="1"/>
  <c r="AL160" i="1" s="1"/>
  <c r="H160" i="1"/>
  <c r="BJ159" i="1"/>
  <c r="BF159" i="1"/>
  <c r="BD159" i="1"/>
  <c r="AW159" i="1"/>
  <c r="AP159" i="1"/>
  <c r="AO159" i="1"/>
  <c r="BH159" i="1" s="1"/>
  <c r="AD159" i="1" s="1"/>
  <c r="AK159" i="1"/>
  <c r="AJ159" i="1"/>
  <c r="AH159" i="1"/>
  <c r="AG159" i="1"/>
  <c r="AF159" i="1"/>
  <c r="AC159" i="1"/>
  <c r="AB159" i="1"/>
  <c r="Z159" i="1"/>
  <c r="J159" i="1"/>
  <c r="AL159" i="1" s="1"/>
  <c r="I159" i="1"/>
  <c r="H159" i="1"/>
  <c r="BJ158" i="1"/>
  <c r="BF158" i="1"/>
  <c r="BD158" i="1"/>
  <c r="AX158" i="1"/>
  <c r="AP158" i="1"/>
  <c r="BI158" i="1" s="1"/>
  <c r="AE158" i="1" s="1"/>
  <c r="AO158" i="1"/>
  <c r="AW158" i="1" s="1"/>
  <c r="AK158" i="1"/>
  <c r="AJ158" i="1"/>
  <c r="AH158" i="1"/>
  <c r="AG158" i="1"/>
  <c r="AF158" i="1"/>
  <c r="AC158" i="1"/>
  <c r="AB158" i="1"/>
  <c r="Z158" i="1"/>
  <c r="J158" i="1"/>
  <c r="AL158" i="1" s="1"/>
  <c r="I158" i="1"/>
  <c r="H158" i="1"/>
  <c r="BJ157" i="1"/>
  <c r="BF157" i="1"/>
  <c r="BD157" i="1"/>
  <c r="AP157" i="1"/>
  <c r="AO157" i="1"/>
  <c r="AK157" i="1"/>
  <c r="AJ157" i="1"/>
  <c r="AH157" i="1"/>
  <c r="AG157" i="1"/>
  <c r="AF157" i="1"/>
  <c r="AC157" i="1"/>
  <c r="AB157" i="1"/>
  <c r="Z157" i="1"/>
  <c r="J157" i="1"/>
  <c r="AL157" i="1" s="1"/>
  <c r="BJ155" i="1"/>
  <c r="BF155" i="1"/>
  <c r="BD155" i="1"/>
  <c r="AP155" i="1"/>
  <c r="BI155" i="1" s="1"/>
  <c r="AE155" i="1" s="1"/>
  <c r="AO155" i="1"/>
  <c r="AK155" i="1"/>
  <c r="AJ155" i="1"/>
  <c r="AH155" i="1"/>
  <c r="AG155" i="1"/>
  <c r="AF155" i="1"/>
  <c r="AC155" i="1"/>
  <c r="AB155" i="1"/>
  <c r="Z155" i="1"/>
  <c r="J155" i="1"/>
  <c r="AL155" i="1" s="1"/>
  <c r="BJ153" i="1"/>
  <c r="Z153" i="1" s="1"/>
  <c r="BF153" i="1"/>
  <c r="BD153" i="1"/>
  <c r="AP153" i="1"/>
  <c r="AO153" i="1"/>
  <c r="BH153" i="1" s="1"/>
  <c r="AL153" i="1"/>
  <c r="AK153" i="1"/>
  <c r="AJ153" i="1"/>
  <c r="AH153" i="1"/>
  <c r="AG153" i="1"/>
  <c r="AF153" i="1"/>
  <c r="AE153" i="1"/>
  <c r="AD153" i="1"/>
  <c r="AC153" i="1"/>
  <c r="AB153" i="1"/>
  <c r="J153" i="1"/>
  <c r="I153" i="1"/>
  <c r="H153" i="1"/>
  <c r="BJ152" i="1"/>
  <c r="BF152" i="1"/>
  <c r="BD152" i="1"/>
  <c r="AP152" i="1"/>
  <c r="AO152" i="1"/>
  <c r="AW152" i="1" s="1"/>
  <c r="AK152" i="1"/>
  <c r="AJ152" i="1"/>
  <c r="AH152" i="1"/>
  <c r="AG152" i="1"/>
  <c r="AF152" i="1"/>
  <c r="AC152" i="1"/>
  <c r="AB152" i="1"/>
  <c r="Z152" i="1"/>
  <c r="J152" i="1"/>
  <c r="AL152" i="1" s="1"/>
  <c r="BJ151" i="1"/>
  <c r="BF151" i="1"/>
  <c r="BD151" i="1"/>
  <c r="AP151" i="1"/>
  <c r="AO151" i="1"/>
  <c r="AL151" i="1"/>
  <c r="AK151" i="1"/>
  <c r="AJ151" i="1"/>
  <c r="AH151" i="1"/>
  <c r="AG151" i="1"/>
  <c r="AF151" i="1"/>
  <c r="AC151" i="1"/>
  <c r="AB151" i="1"/>
  <c r="Z151" i="1"/>
  <c r="J151" i="1"/>
  <c r="BJ149" i="1"/>
  <c r="BF149" i="1"/>
  <c r="BD149" i="1"/>
  <c r="AP149" i="1"/>
  <c r="BI149" i="1" s="1"/>
  <c r="AO149" i="1"/>
  <c r="AW149" i="1" s="1"/>
  <c r="AK149" i="1"/>
  <c r="AJ149" i="1"/>
  <c r="AH149" i="1"/>
  <c r="AG149" i="1"/>
  <c r="AF149" i="1"/>
  <c r="AE149" i="1"/>
  <c r="AC149" i="1"/>
  <c r="AB149" i="1"/>
  <c r="Z149" i="1"/>
  <c r="J149" i="1"/>
  <c r="AL149" i="1" s="1"/>
  <c r="I149" i="1"/>
  <c r="BJ148" i="1"/>
  <c r="BF148" i="1"/>
  <c r="BD148" i="1"/>
  <c r="AW148" i="1"/>
  <c r="AP148" i="1"/>
  <c r="AX148" i="1" s="1"/>
  <c r="AO148" i="1"/>
  <c r="BH148" i="1" s="1"/>
  <c r="AD148" i="1" s="1"/>
  <c r="AL148" i="1"/>
  <c r="AK148" i="1"/>
  <c r="AJ148" i="1"/>
  <c r="AH148" i="1"/>
  <c r="AG148" i="1"/>
  <c r="AF148" i="1"/>
  <c r="AC148" i="1"/>
  <c r="AB148" i="1"/>
  <c r="Z148" i="1"/>
  <c r="J148" i="1"/>
  <c r="H148" i="1"/>
  <c r="BJ146" i="1"/>
  <c r="BF146" i="1"/>
  <c r="BD146" i="1"/>
  <c r="AX146" i="1"/>
  <c r="AP146" i="1"/>
  <c r="BI146" i="1" s="1"/>
  <c r="AE146" i="1" s="1"/>
  <c r="AO146" i="1"/>
  <c r="AW146" i="1" s="1"/>
  <c r="AK146" i="1"/>
  <c r="AJ146" i="1"/>
  <c r="AH146" i="1"/>
  <c r="AG146" i="1"/>
  <c r="AF146" i="1"/>
  <c r="AC146" i="1"/>
  <c r="AB146" i="1"/>
  <c r="Z146" i="1"/>
  <c r="J146" i="1"/>
  <c r="AL146" i="1" s="1"/>
  <c r="I146" i="1"/>
  <c r="H146" i="1"/>
  <c r="BJ145" i="1"/>
  <c r="BF145" i="1"/>
  <c r="BD145" i="1"/>
  <c r="AW145" i="1"/>
  <c r="AV145" i="1" s="1"/>
  <c r="AP145" i="1"/>
  <c r="AX145" i="1" s="1"/>
  <c r="AO145" i="1"/>
  <c r="BH145" i="1" s="1"/>
  <c r="AD145" i="1" s="1"/>
  <c r="AK145" i="1"/>
  <c r="AJ145" i="1"/>
  <c r="AH145" i="1"/>
  <c r="AG145" i="1"/>
  <c r="AF145" i="1"/>
  <c r="AC145" i="1"/>
  <c r="AB145" i="1"/>
  <c r="Z145" i="1"/>
  <c r="J145" i="1"/>
  <c r="AL145" i="1" s="1"/>
  <c r="I145" i="1"/>
  <c r="H145" i="1"/>
  <c r="BJ143" i="1"/>
  <c r="BF143" i="1"/>
  <c r="BD143" i="1"/>
  <c r="AX143" i="1"/>
  <c r="AP143" i="1"/>
  <c r="BI143" i="1" s="1"/>
  <c r="AE143" i="1" s="1"/>
  <c r="AO143" i="1"/>
  <c r="AW143" i="1" s="1"/>
  <c r="AK143" i="1"/>
  <c r="AJ143" i="1"/>
  <c r="AH143" i="1"/>
  <c r="AG143" i="1"/>
  <c r="AF143" i="1"/>
  <c r="AC143" i="1"/>
  <c r="AB143" i="1"/>
  <c r="Z143" i="1"/>
  <c r="J143" i="1"/>
  <c r="AL143" i="1" s="1"/>
  <c r="I143" i="1"/>
  <c r="H143" i="1"/>
  <c r="BJ141" i="1"/>
  <c r="BF141" i="1"/>
  <c r="BD141" i="1"/>
  <c r="AW141" i="1"/>
  <c r="AP141" i="1"/>
  <c r="AX141" i="1" s="1"/>
  <c r="BC141" i="1" s="1"/>
  <c r="AO141" i="1"/>
  <c r="BH141" i="1" s="1"/>
  <c r="AD141" i="1" s="1"/>
  <c r="AK141" i="1"/>
  <c r="AJ141" i="1"/>
  <c r="AH141" i="1"/>
  <c r="AG141" i="1"/>
  <c r="AF141" i="1"/>
  <c r="AC141" i="1"/>
  <c r="AB141" i="1"/>
  <c r="Z141" i="1"/>
  <c r="J141" i="1"/>
  <c r="AL141" i="1" s="1"/>
  <c r="H141" i="1"/>
  <c r="BJ139" i="1"/>
  <c r="BF139" i="1"/>
  <c r="BD139" i="1"/>
  <c r="AP139" i="1"/>
  <c r="AO139" i="1"/>
  <c r="AW139" i="1" s="1"/>
  <c r="AK139" i="1"/>
  <c r="AJ139" i="1"/>
  <c r="AH139" i="1"/>
  <c r="AG139" i="1"/>
  <c r="AF139" i="1"/>
  <c r="AC139" i="1"/>
  <c r="AB139" i="1"/>
  <c r="Z139" i="1"/>
  <c r="J139" i="1"/>
  <c r="AL139" i="1" s="1"/>
  <c r="BJ137" i="1"/>
  <c r="BF137" i="1"/>
  <c r="BD137" i="1"/>
  <c r="AP137" i="1"/>
  <c r="AO137" i="1"/>
  <c r="AK137" i="1"/>
  <c r="AJ137" i="1"/>
  <c r="AH137" i="1"/>
  <c r="AG137" i="1"/>
  <c r="AF137" i="1"/>
  <c r="AC137" i="1"/>
  <c r="AB137" i="1"/>
  <c r="Z137" i="1"/>
  <c r="J137" i="1"/>
  <c r="AL137" i="1" s="1"/>
  <c r="BJ135" i="1"/>
  <c r="BF135" i="1"/>
  <c r="BD135" i="1"/>
  <c r="AP135" i="1"/>
  <c r="AO135" i="1"/>
  <c r="AW135" i="1" s="1"/>
  <c r="AK135" i="1"/>
  <c r="AJ135" i="1"/>
  <c r="AH135" i="1"/>
  <c r="AG135" i="1"/>
  <c r="AF135" i="1"/>
  <c r="AC135" i="1"/>
  <c r="AB135" i="1"/>
  <c r="Z135" i="1"/>
  <c r="J135" i="1"/>
  <c r="AL135" i="1" s="1"/>
  <c r="BJ133" i="1"/>
  <c r="BF133" i="1"/>
  <c r="BD133" i="1"/>
  <c r="AP133" i="1"/>
  <c r="AX133" i="1" s="1"/>
  <c r="AO133" i="1"/>
  <c r="AL133" i="1"/>
  <c r="AK133" i="1"/>
  <c r="AJ133" i="1"/>
  <c r="AH133" i="1"/>
  <c r="AG133" i="1"/>
  <c r="AF133" i="1"/>
  <c r="AC133" i="1"/>
  <c r="AB133" i="1"/>
  <c r="Z133" i="1"/>
  <c r="J133" i="1"/>
  <c r="H133" i="1"/>
  <c r="BJ131" i="1"/>
  <c r="BF131" i="1"/>
  <c r="BD131" i="1"/>
  <c r="AP131" i="1"/>
  <c r="BI131" i="1" s="1"/>
  <c r="AE131" i="1" s="1"/>
  <c r="AO131" i="1"/>
  <c r="AK131" i="1"/>
  <c r="AJ131" i="1"/>
  <c r="AH131" i="1"/>
  <c r="AG131" i="1"/>
  <c r="AF131" i="1"/>
  <c r="AC131" i="1"/>
  <c r="AB131" i="1"/>
  <c r="Z131" i="1"/>
  <c r="J131" i="1"/>
  <c r="AL131" i="1" s="1"/>
  <c r="I131" i="1"/>
  <c r="BJ129" i="1"/>
  <c r="Z129" i="1" s="1"/>
  <c r="BF129" i="1"/>
  <c r="BD129" i="1"/>
  <c r="AP129" i="1"/>
  <c r="AX129" i="1" s="1"/>
  <c r="AO129" i="1"/>
  <c r="AL129" i="1"/>
  <c r="AK129" i="1"/>
  <c r="AJ129" i="1"/>
  <c r="AH129" i="1"/>
  <c r="AG129" i="1"/>
  <c r="AF129" i="1"/>
  <c r="AE129" i="1"/>
  <c r="AD129" i="1"/>
  <c r="AC129" i="1"/>
  <c r="AB129" i="1"/>
  <c r="J129" i="1"/>
  <c r="I129" i="1"/>
  <c r="H129" i="1"/>
  <c r="BJ128" i="1"/>
  <c r="BF128" i="1"/>
  <c r="BD128" i="1"/>
  <c r="AP128" i="1"/>
  <c r="BI128" i="1" s="1"/>
  <c r="AE128" i="1" s="1"/>
  <c r="AO128" i="1"/>
  <c r="AW128" i="1" s="1"/>
  <c r="AK128" i="1"/>
  <c r="AJ128" i="1"/>
  <c r="AH128" i="1"/>
  <c r="AG128" i="1"/>
  <c r="AF128" i="1"/>
  <c r="AC128" i="1"/>
  <c r="AB128" i="1"/>
  <c r="Z128" i="1"/>
  <c r="J128" i="1"/>
  <c r="AL128" i="1" s="1"/>
  <c r="BJ127" i="1"/>
  <c r="BF127" i="1"/>
  <c r="BD127" i="1"/>
  <c r="AP127" i="1"/>
  <c r="AX127" i="1" s="1"/>
  <c r="AO127" i="1"/>
  <c r="AL127" i="1"/>
  <c r="AK127" i="1"/>
  <c r="AJ127" i="1"/>
  <c r="AH127" i="1"/>
  <c r="AG127" i="1"/>
  <c r="AF127" i="1"/>
  <c r="AC127" i="1"/>
  <c r="AB127" i="1"/>
  <c r="Z127" i="1"/>
  <c r="J127" i="1"/>
  <c r="H127" i="1"/>
  <c r="BJ125" i="1"/>
  <c r="BF125" i="1"/>
  <c r="BD125" i="1"/>
  <c r="AX125" i="1"/>
  <c r="AP125" i="1"/>
  <c r="BI125" i="1" s="1"/>
  <c r="AE125" i="1" s="1"/>
  <c r="AO125" i="1"/>
  <c r="AK125" i="1"/>
  <c r="AJ125" i="1"/>
  <c r="AH125" i="1"/>
  <c r="AG125" i="1"/>
  <c r="AF125" i="1"/>
  <c r="AC125" i="1"/>
  <c r="AB125" i="1"/>
  <c r="Z125" i="1"/>
  <c r="J125" i="1"/>
  <c r="AL125" i="1" s="1"/>
  <c r="I125" i="1"/>
  <c r="BJ123" i="1"/>
  <c r="BI123" i="1"/>
  <c r="AE123" i="1" s="1"/>
  <c r="BF123" i="1"/>
  <c r="BD123" i="1"/>
  <c r="AP123" i="1"/>
  <c r="AX123" i="1" s="1"/>
  <c r="AO123" i="1"/>
  <c r="AL123" i="1"/>
  <c r="AK123" i="1"/>
  <c r="AJ123" i="1"/>
  <c r="AH123" i="1"/>
  <c r="AG123" i="1"/>
  <c r="AF123" i="1"/>
  <c r="AC123" i="1"/>
  <c r="AB123" i="1"/>
  <c r="Z123" i="1"/>
  <c r="J123" i="1"/>
  <c r="I123" i="1"/>
  <c r="H123" i="1"/>
  <c r="BJ121" i="1"/>
  <c r="BF121" i="1"/>
  <c r="BD121" i="1"/>
  <c r="AP121" i="1"/>
  <c r="BI121" i="1" s="1"/>
  <c r="AE121" i="1" s="1"/>
  <c r="AO121" i="1"/>
  <c r="AK121" i="1"/>
  <c r="AT120" i="1" s="1"/>
  <c r="AJ121" i="1"/>
  <c r="AH121" i="1"/>
  <c r="AG121" i="1"/>
  <c r="AF121" i="1"/>
  <c r="AC121" i="1"/>
  <c r="AB121" i="1"/>
  <c r="Z121" i="1"/>
  <c r="J121" i="1"/>
  <c r="AL121" i="1" s="1"/>
  <c r="I121" i="1"/>
  <c r="BJ119" i="1"/>
  <c r="Z119" i="1" s="1"/>
  <c r="BF119" i="1"/>
  <c r="BD119" i="1"/>
  <c r="AP119" i="1"/>
  <c r="AO119" i="1"/>
  <c r="AK119" i="1"/>
  <c r="AJ119" i="1"/>
  <c r="AH119" i="1"/>
  <c r="AG119" i="1"/>
  <c r="AF119" i="1"/>
  <c r="AE119" i="1"/>
  <c r="AD119" i="1"/>
  <c r="AC119" i="1"/>
  <c r="AB119" i="1"/>
  <c r="J119" i="1"/>
  <c r="AL119" i="1" s="1"/>
  <c r="BJ117" i="1"/>
  <c r="BF117" i="1"/>
  <c r="BD117" i="1"/>
  <c r="AX117" i="1"/>
  <c r="AP117" i="1"/>
  <c r="BI117" i="1" s="1"/>
  <c r="AE117" i="1" s="1"/>
  <c r="AO117" i="1"/>
  <c r="AW117" i="1" s="1"/>
  <c r="AK117" i="1"/>
  <c r="AJ117" i="1"/>
  <c r="AH117" i="1"/>
  <c r="AG117" i="1"/>
  <c r="AF117" i="1"/>
  <c r="AC117" i="1"/>
  <c r="AB117" i="1"/>
  <c r="Z117" i="1"/>
  <c r="J117" i="1"/>
  <c r="AL117" i="1" s="1"/>
  <c r="I117" i="1"/>
  <c r="H117" i="1"/>
  <c r="BJ115" i="1"/>
  <c r="BF115" i="1"/>
  <c r="BD115" i="1"/>
  <c r="AW115" i="1"/>
  <c r="AV115" i="1" s="1"/>
  <c r="AP115" i="1"/>
  <c r="AX115" i="1" s="1"/>
  <c r="AO115" i="1"/>
  <c r="BH115" i="1" s="1"/>
  <c r="AD115" i="1" s="1"/>
  <c r="AK115" i="1"/>
  <c r="AJ115" i="1"/>
  <c r="AH115" i="1"/>
  <c r="AG115" i="1"/>
  <c r="AF115" i="1"/>
  <c r="AC115" i="1"/>
  <c r="AB115" i="1"/>
  <c r="Z115" i="1"/>
  <c r="J115" i="1"/>
  <c r="AL115" i="1" s="1"/>
  <c r="I115" i="1"/>
  <c r="H115" i="1"/>
  <c r="BJ113" i="1"/>
  <c r="BF113" i="1"/>
  <c r="BD113" i="1"/>
  <c r="AX113" i="1"/>
  <c r="AP113" i="1"/>
  <c r="BI113" i="1" s="1"/>
  <c r="AE113" i="1" s="1"/>
  <c r="AO113" i="1"/>
  <c r="AW113" i="1" s="1"/>
  <c r="AK113" i="1"/>
  <c r="AJ113" i="1"/>
  <c r="AH113" i="1"/>
  <c r="AG113" i="1"/>
  <c r="AF113" i="1"/>
  <c r="AC113" i="1"/>
  <c r="AB113" i="1"/>
  <c r="Z113" i="1"/>
  <c r="J113" i="1"/>
  <c r="AL113" i="1" s="1"/>
  <c r="I113" i="1"/>
  <c r="H113" i="1"/>
  <c r="BJ111" i="1"/>
  <c r="BF111" i="1"/>
  <c r="BD111" i="1"/>
  <c r="AW111" i="1"/>
  <c r="AP111" i="1"/>
  <c r="AX111" i="1" s="1"/>
  <c r="BC111" i="1" s="1"/>
  <c r="AO111" i="1"/>
  <c r="BH111" i="1" s="1"/>
  <c r="AD111" i="1" s="1"/>
  <c r="AK111" i="1"/>
  <c r="AJ111" i="1"/>
  <c r="AH111" i="1"/>
  <c r="AG111" i="1"/>
  <c r="AF111" i="1"/>
  <c r="AC111" i="1"/>
  <c r="AB111" i="1"/>
  <c r="Z111" i="1"/>
  <c r="J111" i="1"/>
  <c r="AL111" i="1" s="1"/>
  <c r="H111" i="1"/>
  <c r="BJ109" i="1"/>
  <c r="BF109" i="1"/>
  <c r="BD109" i="1"/>
  <c r="AP109" i="1"/>
  <c r="BI109" i="1" s="1"/>
  <c r="AE109" i="1" s="1"/>
  <c r="AO109" i="1"/>
  <c r="AW109" i="1" s="1"/>
  <c r="AK109" i="1"/>
  <c r="AJ109" i="1"/>
  <c r="AH109" i="1"/>
  <c r="AG109" i="1"/>
  <c r="AF109" i="1"/>
  <c r="AC109" i="1"/>
  <c r="AB109" i="1"/>
  <c r="Z109" i="1"/>
  <c r="J109" i="1"/>
  <c r="AL109" i="1" s="1"/>
  <c r="BJ107" i="1"/>
  <c r="BF107" i="1"/>
  <c r="BD107" i="1"/>
  <c r="AP107" i="1"/>
  <c r="AO107" i="1"/>
  <c r="AK107" i="1"/>
  <c r="AJ107" i="1"/>
  <c r="AH107" i="1"/>
  <c r="AG107" i="1"/>
  <c r="AF107" i="1"/>
  <c r="AE107" i="1"/>
  <c r="AD107" i="1"/>
  <c r="AC107" i="1"/>
  <c r="AB107" i="1"/>
  <c r="Z107" i="1"/>
  <c r="J107" i="1"/>
  <c r="AL107" i="1" s="1"/>
  <c r="BJ106" i="1"/>
  <c r="Z106" i="1" s="1"/>
  <c r="BF106" i="1"/>
  <c r="BD106" i="1"/>
  <c r="AX106" i="1"/>
  <c r="AP106" i="1"/>
  <c r="BI106" i="1" s="1"/>
  <c r="AO106" i="1"/>
  <c r="AW106" i="1" s="1"/>
  <c r="AK106" i="1"/>
  <c r="AJ106" i="1"/>
  <c r="AH106" i="1"/>
  <c r="AG106" i="1"/>
  <c r="AF106" i="1"/>
  <c r="AE106" i="1"/>
  <c r="AD106" i="1"/>
  <c r="AC106" i="1"/>
  <c r="AB106" i="1"/>
  <c r="J106" i="1"/>
  <c r="AL106" i="1" s="1"/>
  <c r="I106" i="1"/>
  <c r="H106" i="1"/>
  <c r="BJ105" i="1"/>
  <c r="BF105" i="1"/>
  <c r="BD105" i="1"/>
  <c r="AW105" i="1"/>
  <c r="AP105" i="1"/>
  <c r="AX105" i="1" s="1"/>
  <c r="AO105" i="1"/>
  <c r="BH105" i="1" s="1"/>
  <c r="AL105" i="1"/>
  <c r="AK105" i="1"/>
  <c r="AJ105" i="1"/>
  <c r="AH105" i="1"/>
  <c r="AG105" i="1"/>
  <c r="AF105" i="1"/>
  <c r="AE105" i="1"/>
  <c r="AD105" i="1"/>
  <c r="AC105" i="1"/>
  <c r="AB105" i="1"/>
  <c r="Z105" i="1"/>
  <c r="J105" i="1"/>
  <c r="H105" i="1"/>
  <c r="BJ104" i="1"/>
  <c r="Z104" i="1" s="1"/>
  <c r="BF104" i="1"/>
  <c r="BD104" i="1"/>
  <c r="AP104" i="1"/>
  <c r="BI104" i="1" s="1"/>
  <c r="AO104" i="1"/>
  <c r="AW104" i="1" s="1"/>
  <c r="AK104" i="1"/>
  <c r="AJ104" i="1"/>
  <c r="AH104" i="1"/>
  <c r="AG104" i="1"/>
  <c r="AF104" i="1"/>
  <c r="AE104" i="1"/>
  <c r="AD104" i="1"/>
  <c r="AC104" i="1"/>
  <c r="AB104" i="1"/>
  <c r="J104" i="1"/>
  <c r="AL104" i="1" s="1"/>
  <c r="I104" i="1"/>
  <c r="H104" i="1"/>
  <c r="BJ102" i="1"/>
  <c r="Z102" i="1" s="1"/>
  <c r="BF102" i="1"/>
  <c r="BD102" i="1"/>
  <c r="AP102" i="1"/>
  <c r="AX102" i="1" s="1"/>
  <c r="AO102" i="1"/>
  <c r="AL102" i="1"/>
  <c r="AK102" i="1"/>
  <c r="AJ102" i="1"/>
  <c r="AH102" i="1"/>
  <c r="AG102" i="1"/>
  <c r="AF102" i="1"/>
  <c r="AE102" i="1"/>
  <c r="AD102" i="1"/>
  <c r="AC102" i="1"/>
  <c r="AB102" i="1"/>
  <c r="J102" i="1"/>
  <c r="I102" i="1"/>
  <c r="H102" i="1"/>
  <c r="BJ100" i="1"/>
  <c r="Z100" i="1" s="1"/>
  <c r="BF100" i="1"/>
  <c r="BD100" i="1"/>
  <c r="AX100" i="1"/>
  <c r="AP100" i="1"/>
  <c r="BI100" i="1" s="1"/>
  <c r="AO100" i="1"/>
  <c r="AW100" i="1" s="1"/>
  <c r="AK100" i="1"/>
  <c r="AJ100" i="1"/>
  <c r="AH100" i="1"/>
  <c r="AG100" i="1"/>
  <c r="AF100" i="1"/>
  <c r="AE100" i="1"/>
  <c r="AD100" i="1"/>
  <c r="AC100" i="1"/>
  <c r="AB100" i="1"/>
  <c r="J100" i="1"/>
  <c r="I100" i="1"/>
  <c r="H100" i="1"/>
  <c r="BJ99" i="1"/>
  <c r="BF99" i="1"/>
  <c r="BD99" i="1"/>
  <c r="AP99" i="1"/>
  <c r="AO99" i="1"/>
  <c r="AW99" i="1" s="1"/>
  <c r="AK99" i="1"/>
  <c r="AJ99" i="1"/>
  <c r="AH99" i="1"/>
  <c r="AG99" i="1"/>
  <c r="AF99" i="1"/>
  <c r="AE99" i="1"/>
  <c r="AD99" i="1"/>
  <c r="AC99" i="1"/>
  <c r="AB99" i="1"/>
  <c r="Z99" i="1"/>
  <c r="J99" i="1"/>
  <c r="AL99" i="1" s="1"/>
  <c r="BJ96" i="1"/>
  <c r="BF96" i="1"/>
  <c r="BD96" i="1"/>
  <c r="AX96" i="1"/>
  <c r="AP96" i="1"/>
  <c r="BI96" i="1" s="1"/>
  <c r="AC96" i="1" s="1"/>
  <c r="AO96" i="1"/>
  <c r="AW96" i="1" s="1"/>
  <c r="AK96" i="1"/>
  <c r="AT95" i="1" s="1"/>
  <c r="AJ96" i="1"/>
  <c r="AS95" i="1" s="1"/>
  <c r="AH96" i="1"/>
  <c r="AG96" i="1"/>
  <c r="AF96" i="1"/>
  <c r="AE96" i="1"/>
  <c r="AD96" i="1"/>
  <c r="Z96" i="1"/>
  <c r="J96" i="1"/>
  <c r="AL96" i="1" s="1"/>
  <c r="AU95" i="1" s="1"/>
  <c r="I96" i="1"/>
  <c r="H96" i="1"/>
  <c r="H95" i="1" s="1"/>
  <c r="E25" i="2" s="1"/>
  <c r="I95" i="1"/>
  <c r="F25" i="2" s="1"/>
  <c r="BJ93" i="1"/>
  <c r="BF93" i="1"/>
  <c r="BD93" i="1"/>
  <c r="AP93" i="1"/>
  <c r="AX93" i="1" s="1"/>
  <c r="AO93" i="1"/>
  <c r="AL93" i="1"/>
  <c r="AK93" i="1"/>
  <c r="AJ93" i="1"/>
  <c r="AH93" i="1"/>
  <c r="AG93" i="1"/>
  <c r="AF93" i="1"/>
  <c r="AE93" i="1"/>
  <c r="AD93" i="1"/>
  <c r="Z93" i="1"/>
  <c r="J93" i="1"/>
  <c r="H93" i="1"/>
  <c r="BJ91" i="1"/>
  <c r="BF91" i="1"/>
  <c r="BD91" i="1"/>
  <c r="AX91" i="1"/>
  <c r="AP91" i="1"/>
  <c r="BI91" i="1" s="1"/>
  <c r="AC91" i="1" s="1"/>
  <c r="AO91" i="1"/>
  <c r="AK91" i="1"/>
  <c r="AJ91" i="1"/>
  <c r="AH91" i="1"/>
  <c r="AG91" i="1"/>
  <c r="AF91" i="1"/>
  <c r="AE91" i="1"/>
  <c r="AD91" i="1"/>
  <c r="Z91" i="1"/>
  <c r="J91" i="1"/>
  <c r="AL91" i="1" s="1"/>
  <c r="I91" i="1"/>
  <c r="BJ90" i="1"/>
  <c r="BI90" i="1"/>
  <c r="AC90" i="1" s="1"/>
  <c r="BF90" i="1"/>
  <c r="BD90" i="1"/>
  <c r="AP90" i="1"/>
  <c r="AX90" i="1" s="1"/>
  <c r="AO90" i="1"/>
  <c r="AL90" i="1"/>
  <c r="AK90" i="1"/>
  <c r="AJ90" i="1"/>
  <c r="AH90" i="1"/>
  <c r="AG90" i="1"/>
  <c r="AF90" i="1"/>
  <c r="AE90" i="1"/>
  <c r="AD90" i="1"/>
  <c r="Z90" i="1"/>
  <c r="J90" i="1"/>
  <c r="I90" i="1"/>
  <c r="H90" i="1"/>
  <c r="BJ88" i="1"/>
  <c r="BF88" i="1"/>
  <c r="BD88" i="1"/>
  <c r="AP88" i="1"/>
  <c r="BI88" i="1" s="1"/>
  <c r="AC88" i="1" s="1"/>
  <c r="AO88" i="1"/>
  <c r="AK88" i="1"/>
  <c r="AJ88" i="1"/>
  <c r="AH88" i="1"/>
  <c r="AG88" i="1"/>
  <c r="AF88" i="1"/>
  <c r="AE88" i="1"/>
  <c r="AD88" i="1"/>
  <c r="Z88" i="1"/>
  <c r="J88" i="1"/>
  <c r="AL88" i="1" s="1"/>
  <c r="BJ86" i="1"/>
  <c r="BF86" i="1"/>
  <c r="BD86" i="1"/>
  <c r="AW86" i="1"/>
  <c r="AP86" i="1"/>
  <c r="AX86" i="1" s="1"/>
  <c r="AO86" i="1"/>
  <c r="BH86" i="1" s="1"/>
  <c r="AB86" i="1" s="1"/>
  <c r="AL86" i="1"/>
  <c r="AK86" i="1"/>
  <c r="AJ86" i="1"/>
  <c r="AH86" i="1"/>
  <c r="AG86" i="1"/>
  <c r="AF86" i="1"/>
  <c r="AE86" i="1"/>
  <c r="AD86" i="1"/>
  <c r="Z86" i="1"/>
  <c r="J86" i="1"/>
  <c r="H86" i="1"/>
  <c r="BJ85" i="1"/>
  <c r="BF85" i="1"/>
  <c r="BD85" i="1"/>
  <c r="AX85" i="1"/>
  <c r="AP85" i="1"/>
  <c r="BI85" i="1" s="1"/>
  <c r="AC85" i="1" s="1"/>
  <c r="AO85" i="1"/>
  <c r="AW85" i="1" s="1"/>
  <c r="AK85" i="1"/>
  <c r="AJ85" i="1"/>
  <c r="AH85" i="1"/>
  <c r="AG85" i="1"/>
  <c r="AF85" i="1"/>
  <c r="AE85" i="1"/>
  <c r="AD85" i="1"/>
  <c r="Z85" i="1"/>
  <c r="J85" i="1"/>
  <c r="I85" i="1"/>
  <c r="H85" i="1"/>
  <c r="BJ84" i="1"/>
  <c r="BF84" i="1"/>
  <c r="BD84" i="1"/>
  <c r="AW84" i="1"/>
  <c r="AV84" i="1" s="1"/>
  <c r="AP84" i="1"/>
  <c r="AX84" i="1" s="1"/>
  <c r="AO84" i="1"/>
  <c r="BH84" i="1" s="1"/>
  <c r="AB84" i="1" s="1"/>
  <c r="AK84" i="1"/>
  <c r="AJ84" i="1"/>
  <c r="AH84" i="1"/>
  <c r="AG84" i="1"/>
  <c r="AF84" i="1"/>
  <c r="AE84" i="1"/>
  <c r="AD84" i="1"/>
  <c r="Z84" i="1"/>
  <c r="J84" i="1"/>
  <c r="AL84" i="1" s="1"/>
  <c r="I84" i="1"/>
  <c r="H84" i="1"/>
  <c r="BJ82" i="1"/>
  <c r="Z82" i="1" s="1"/>
  <c r="BF82" i="1"/>
  <c r="BD82" i="1"/>
  <c r="AX82" i="1"/>
  <c r="AP82" i="1"/>
  <c r="BI82" i="1" s="1"/>
  <c r="AO82" i="1"/>
  <c r="AW82" i="1" s="1"/>
  <c r="AK82" i="1"/>
  <c r="AJ82" i="1"/>
  <c r="AS81" i="1" s="1"/>
  <c r="AH82" i="1"/>
  <c r="AG82" i="1"/>
  <c r="AF82" i="1"/>
  <c r="AE82" i="1"/>
  <c r="AD82" i="1"/>
  <c r="AC82" i="1"/>
  <c r="AB82" i="1"/>
  <c r="J82" i="1"/>
  <c r="AL82" i="1" s="1"/>
  <c r="AU81" i="1" s="1"/>
  <c r="I82" i="1"/>
  <c r="H82" i="1"/>
  <c r="H81" i="1" s="1"/>
  <c r="E23" i="2" s="1"/>
  <c r="AT81" i="1"/>
  <c r="I81" i="1"/>
  <c r="F23" i="2" s="1"/>
  <c r="BJ80" i="1"/>
  <c r="BF80" i="1"/>
  <c r="BD80" i="1"/>
  <c r="AP80" i="1"/>
  <c r="AX80" i="1" s="1"/>
  <c r="AO80" i="1"/>
  <c r="H80" i="1" s="1"/>
  <c r="H79" i="1" s="1"/>
  <c r="E22" i="2" s="1"/>
  <c r="AL80" i="1"/>
  <c r="AU79" i="1" s="1"/>
  <c r="AK80" i="1"/>
  <c r="AJ80" i="1"/>
  <c r="AS79" i="1" s="1"/>
  <c r="AH80" i="1"/>
  <c r="AG80" i="1"/>
  <c r="AF80" i="1"/>
  <c r="AE80" i="1"/>
  <c r="AD80" i="1"/>
  <c r="Z80" i="1"/>
  <c r="J80" i="1"/>
  <c r="AT79" i="1"/>
  <c r="J79" i="1"/>
  <c r="G22" i="2" s="1"/>
  <c r="I22" i="2" s="1"/>
  <c r="BJ78" i="1"/>
  <c r="BF78" i="1"/>
  <c r="BD78" i="1"/>
  <c r="AP78" i="1"/>
  <c r="BI78" i="1" s="1"/>
  <c r="AC78" i="1" s="1"/>
  <c r="AO78" i="1"/>
  <c r="AW78" i="1" s="1"/>
  <c r="AK78" i="1"/>
  <c r="AJ78" i="1"/>
  <c r="AH78" i="1"/>
  <c r="AG78" i="1"/>
  <c r="AF78" i="1"/>
  <c r="AE78" i="1"/>
  <c r="AD78" i="1"/>
  <c r="Z78" i="1"/>
  <c r="J78" i="1"/>
  <c r="H78" i="1"/>
  <c r="H75" i="1" s="1"/>
  <c r="E21" i="2" s="1"/>
  <c r="BJ76" i="1"/>
  <c r="BF76" i="1"/>
  <c r="BD76" i="1"/>
  <c r="AW76" i="1"/>
  <c r="AP76" i="1"/>
  <c r="AO76" i="1"/>
  <c r="BH76" i="1" s="1"/>
  <c r="AB76" i="1" s="1"/>
  <c r="AK76" i="1"/>
  <c r="AJ76" i="1"/>
  <c r="AS75" i="1" s="1"/>
  <c r="AH76" i="1"/>
  <c r="AG76" i="1"/>
  <c r="AF76" i="1"/>
  <c r="AE76" i="1"/>
  <c r="AD76" i="1"/>
  <c r="Z76" i="1"/>
  <c r="J76" i="1"/>
  <c r="AL76" i="1" s="1"/>
  <c r="H76" i="1"/>
  <c r="BJ73" i="1"/>
  <c r="BF73" i="1"/>
  <c r="BD73" i="1"/>
  <c r="AX73" i="1"/>
  <c r="AP73" i="1"/>
  <c r="BI73" i="1" s="1"/>
  <c r="AC73" i="1" s="1"/>
  <c r="AO73" i="1"/>
  <c r="AW73" i="1" s="1"/>
  <c r="AK73" i="1"/>
  <c r="AT70" i="1" s="1"/>
  <c r="AJ73" i="1"/>
  <c r="AH73" i="1"/>
  <c r="AG73" i="1"/>
  <c r="AF73" i="1"/>
  <c r="AE73" i="1"/>
  <c r="AD73" i="1"/>
  <c r="Z73" i="1"/>
  <c r="J73" i="1"/>
  <c r="I73" i="1"/>
  <c r="H73" i="1"/>
  <c r="BJ71" i="1"/>
  <c r="BI71" i="1"/>
  <c r="AC71" i="1" s="1"/>
  <c r="BF71" i="1"/>
  <c r="BD71" i="1"/>
  <c r="AW71" i="1"/>
  <c r="AP71" i="1"/>
  <c r="AX71" i="1" s="1"/>
  <c r="AO71" i="1"/>
  <c r="BH71" i="1" s="1"/>
  <c r="AB71" i="1" s="1"/>
  <c r="AL71" i="1"/>
  <c r="AK71" i="1"/>
  <c r="AJ71" i="1"/>
  <c r="AH71" i="1"/>
  <c r="AG71" i="1"/>
  <c r="AF71" i="1"/>
  <c r="AE71" i="1"/>
  <c r="AD71" i="1"/>
  <c r="Z71" i="1"/>
  <c r="J71" i="1"/>
  <c r="I71" i="1"/>
  <c r="H71" i="1"/>
  <c r="AS70" i="1"/>
  <c r="I70" i="1"/>
  <c r="F20" i="2" s="1"/>
  <c r="BJ68" i="1"/>
  <c r="BF68" i="1"/>
  <c r="BD68" i="1"/>
  <c r="AP68" i="1"/>
  <c r="AO68" i="1"/>
  <c r="AW68" i="1" s="1"/>
  <c r="AK68" i="1"/>
  <c r="AJ68" i="1"/>
  <c r="AH68" i="1"/>
  <c r="AG68" i="1"/>
  <c r="AF68" i="1"/>
  <c r="AE68" i="1"/>
  <c r="AD68" i="1"/>
  <c r="Z68" i="1"/>
  <c r="J68" i="1"/>
  <c r="AL68" i="1" s="1"/>
  <c r="BJ67" i="1"/>
  <c r="BI67" i="1"/>
  <c r="AC67" i="1" s="1"/>
  <c r="BF67" i="1"/>
  <c r="BD67" i="1"/>
  <c r="AP67" i="1"/>
  <c r="AX67" i="1" s="1"/>
  <c r="AO67" i="1"/>
  <c r="AL67" i="1"/>
  <c r="AK67" i="1"/>
  <c r="AJ67" i="1"/>
  <c r="AS64" i="1" s="1"/>
  <c r="AH67" i="1"/>
  <c r="AG67" i="1"/>
  <c r="AF67" i="1"/>
  <c r="AE67" i="1"/>
  <c r="AD67" i="1"/>
  <c r="Z67" i="1"/>
  <c r="J67" i="1"/>
  <c r="I67" i="1"/>
  <c r="H67" i="1"/>
  <c r="BJ65" i="1"/>
  <c r="BF65" i="1"/>
  <c r="BD65" i="1"/>
  <c r="AP65" i="1"/>
  <c r="AO65" i="1"/>
  <c r="AW65" i="1" s="1"/>
  <c r="AK65" i="1"/>
  <c r="AT64" i="1" s="1"/>
  <c r="AJ65" i="1"/>
  <c r="AH65" i="1"/>
  <c r="AG65" i="1"/>
  <c r="AF65" i="1"/>
  <c r="AE65" i="1"/>
  <c r="AD65" i="1"/>
  <c r="Z65" i="1"/>
  <c r="J65" i="1"/>
  <c r="AL65" i="1" s="1"/>
  <c r="BJ63" i="1"/>
  <c r="BF63" i="1"/>
  <c r="BD63" i="1"/>
  <c r="AW63" i="1"/>
  <c r="AP63" i="1"/>
  <c r="AO63" i="1"/>
  <c r="BH63" i="1" s="1"/>
  <c r="AB63" i="1" s="1"/>
  <c r="AK63" i="1"/>
  <c r="AJ63" i="1"/>
  <c r="AH63" i="1"/>
  <c r="AG63" i="1"/>
  <c r="AF63" i="1"/>
  <c r="AE63" i="1"/>
  <c r="AD63" i="1"/>
  <c r="Z63" i="1"/>
  <c r="J63" i="1"/>
  <c r="AL63" i="1" s="1"/>
  <c r="I63" i="1"/>
  <c r="H63" i="1"/>
  <c r="BJ62" i="1"/>
  <c r="BF62" i="1"/>
  <c r="BD62" i="1"/>
  <c r="AX62" i="1"/>
  <c r="AP62" i="1"/>
  <c r="BI62" i="1" s="1"/>
  <c r="AC62" i="1" s="1"/>
  <c r="AO62" i="1"/>
  <c r="AW62" i="1" s="1"/>
  <c r="AK62" i="1"/>
  <c r="AJ62" i="1"/>
  <c r="AH62" i="1"/>
  <c r="AG62" i="1"/>
  <c r="AF62" i="1"/>
  <c r="AE62" i="1"/>
  <c r="AD62" i="1"/>
  <c r="Z62" i="1"/>
  <c r="J62" i="1"/>
  <c r="AL62" i="1" s="1"/>
  <c r="I62" i="1"/>
  <c r="H62" i="1"/>
  <c r="BJ61" i="1"/>
  <c r="BF61" i="1"/>
  <c r="BD61" i="1"/>
  <c r="AW61" i="1"/>
  <c r="AP61" i="1"/>
  <c r="AX61" i="1" s="1"/>
  <c r="BC61" i="1" s="1"/>
  <c r="AO61" i="1"/>
  <c r="BH61" i="1" s="1"/>
  <c r="AB61" i="1" s="1"/>
  <c r="AK61" i="1"/>
  <c r="AJ61" i="1"/>
  <c r="AH61" i="1"/>
  <c r="AG61" i="1"/>
  <c r="AF61" i="1"/>
  <c r="AE61" i="1"/>
  <c r="AD61" i="1"/>
  <c r="Z61" i="1"/>
  <c r="J61" i="1"/>
  <c r="AL61" i="1" s="1"/>
  <c r="H61" i="1"/>
  <c r="BJ59" i="1"/>
  <c r="BF59" i="1"/>
  <c r="BD59" i="1"/>
  <c r="AP59" i="1"/>
  <c r="AO59" i="1"/>
  <c r="AW59" i="1" s="1"/>
  <c r="AK59" i="1"/>
  <c r="AJ59" i="1"/>
  <c r="AH59" i="1"/>
  <c r="AG59" i="1"/>
  <c r="AF59" i="1"/>
  <c r="AE59" i="1"/>
  <c r="AD59" i="1"/>
  <c r="Z59" i="1"/>
  <c r="J59" i="1"/>
  <c r="BJ57" i="1"/>
  <c r="BI57" i="1"/>
  <c r="AC57" i="1" s="1"/>
  <c r="BF57" i="1"/>
  <c r="BD57" i="1"/>
  <c r="AP57" i="1"/>
  <c r="AX57" i="1" s="1"/>
  <c r="AO57" i="1"/>
  <c r="AL57" i="1"/>
  <c r="AK57" i="1"/>
  <c r="AJ57" i="1"/>
  <c r="AH57" i="1"/>
  <c r="AG57" i="1"/>
  <c r="AF57" i="1"/>
  <c r="AE57" i="1"/>
  <c r="AD57" i="1"/>
  <c r="Z57" i="1"/>
  <c r="J57" i="1"/>
  <c r="I57" i="1"/>
  <c r="H57" i="1"/>
  <c r="BJ54" i="1"/>
  <c r="BF54" i="1"/>
  <c r="BD54" i="1"/>
  <c r="AP54" i="1"/>
  <c r="AO54" i="1"/>
  <c r="AW54" i="1" s="1"/>
  <c r="AK54" i="1"/>
  <c r="AJ54" i="1"/>
  <c r="AH54" i="1"/>
  <c r="AG54" i="1"/>
  <c r="AF54" i="1"/>
  <c r="AE54" i="1"/>
  <c r="AD54" i="1"/>
  <c r="Z54" i="1"/>
  <c r="J54" i="1"/>
  <c r="AL54" i="1" s="1"/>
  <c r="H54" i="1"/>
  <c r="BJ52" i="1"/>
  <c r="BF52" i="1"/>
  <c r="BD52" i="1"/>
  <c r="AP52" i="1"/>
  <c r="AX52" i="1" s="1"/>
  <c r="AO52" i="1"/>
  <c r="BH52" i="1" s="1"/>
  <c r="AB52" i="1" s="1"/>
  <c r="AK52" i="1"/>
  <c r="AT51" i="1" s="1"/>
  <c r="AJ52" i="1"/>
  <c r="AH52" i="1"/>
  <c r="AG52" i="1"/>
  <c r="AF52" i="1"/>
  <c r="AE52" i="1"/>
  <c r="AD52" i="1"/>
  <c r="Z52" i="1"/>
  <c r="J52" i="1"/>
  <c r="AL52" i="1" s="1"/>
  <c r="AU51" i="1" s="1"/>
  <c r="AS51" i="1"/>
  <c r="J51" i="1"/>
  <c r="G17" i="2" s="1"/>
  <c r="I17" i="2" s="1"/>
  <c r="BJ49" i="1"/>
  <c r="BF49" i="1"/>
  <c r="BD49" i="1"/>
  <c r="AP49" i="1"/>
  <c r="AX49" i="1" s="1"/>
  <c r="AO49" i="1"/>
  <c r="AL49" i="1"/>
  <c r="AK49" i="1"/>
  <c r="AJ49" i="1"/>
  <c r="AH49" i="1"/>
  <c r="AG49" i="1"/>
  <c r="AF49" i="1"/>
  <c r="AE49" i="1"/>
  <c r="AD49" i="1"/>
  <c r="Z49" i="1"/>
  <c r="J49" i="1"/>
  <c r="I49" i="1"/>
  <c r="H49" i="1"/>
  <c r="AU48" i="1"/>
  <c r="AT48" i="1"/>
  <c r="AS48" i="1"/>
  <c r="J48" i="1"/>
  <c r="G16" i="2" s="1"/>
  <c r="I16" i="2" s="1"/>
  <c r="I48" i="1"/>
  <c r="F16" i="2" s="1"/>
  <c r="H48" i="1"/>
  <c r="E16" i="2" s="1"/>
  <c r="BJ47" i="1"/>
  <c r="BF47" i="1"/>
  <c r="BD47" i="1"/>
  <c r="AX47" i="1"/>
  <c r="AP47" i="1"/>
  <c r="BI47" i="1" s="1"/>
  <c r="AC47" i="1" s="1"/>
  <c r="AO47" i="1"/>
  <c r="AK47" i="1"/>
  <c r="AJ47" i="1"/>
  <c r="AH47" i="1"/>
  <c r="AG47" i="1"/>
  <c r="AF47" i="1"/>
  <c r="AE47" i="1"/>
  <c r="AD47" i="1"/>
  <c r="Z47" i="1"/>
  <c r="J47" i="1"/>
  <c r="AL47" i="1" s="1"/>
  <c r="I47" i="1"/>
  <c r="BJ45" i="1"/>
  <c r="BF45" i="1"/>
  <c r="BD45" i="1"/>
  <c r="AP45" i="1"/>
  <c r="AX45" i="1" s="1"/>
  <c r="AO45" i="1"/>
  <c r="BH45" i="1" s="1"/>
  <c r="AB45" i="1" s="1"/>
  <c r="AL45" i="1"/>
  <c r="AK45" i="1"/>
  <c r="AJ45" i="1"/>
  <c r="AH45" i="1"/>
  <c r="AG45" i="1"/>
  <c r="AF45" i="1"/>
  <c r="AE45" i="1"/>
  <c r="AD45" i="1"/>
  <c r="Z45" i="1"/>
  <c r="J45" i="1"/>
  <c r="I45" i="1"/>
  <c r="H45" i="1"/>
  <c r="BJ43" i="1"/>
  <c r="BF43" i="1"/>
  <c r="BD43" i="1"/>
  <c r="AP43" i="1"/>
  <c r="BI43" i="1" s="1"/>
  <c r="AC43" i="1" s="1"/>
  <c r="AO43" i="1"/>
  <c r="AW43" i="1" s="1"/>
  <c r="AK43" i="1"/>
  <c r="AJ43" i="1"/>
  <c r="AH43" i="1"/>
  <c r="AG43" i="1"/>
  <c r="AF43" i="1"/>
  <c r="AE43" i="1"/>
  <c r="AD43" i="1"/>
  <c r="Z43" i="1"/>
  <c r="J43" i="1"/>
  <c r="AL43" i="1" s="1"/>
  <c r="H43" i="1"/>
  <c r="BJ41" i="1"/>
  <c r="BF41" i="1"/>
  <c r="BD41" i="1"/>
  <c r="AW41" i="1"/>
  <c r="AP41" i="1"/>
  <c r="AX41" i="1" s="1"/>
  <c r="AO41" i="1"/>
  <c r="BH41" i="1" s="1"/>
  <c r="AB41" i="1" s="1"/>
  <c r="AK41" i="1"/>
  <c r="AJ41" i="1"/>
  <c r="AH41" i="1"/>
  <c r="AG41" i="1"/>
  <c r="AF41" i="1"/>
  <c r="AE41" i="1"/>
  <c r="AD41" i="1"/>
  <c r="Z41" i="1"/>
  <c r="J41" i="1"/>
  <c r="AL41" i="1" s="1"/>
  <c r="I41" i="1"/>
  <c r="H41" i="1"/>
  <c r="BJ39" i="1"/>
  <c r="BF39" i="1"/>
  <c r="BD39" i="1"/>
  <c r="AX39" i="1"/>
  <c r="AP39" i="1"/>
  <c r="BI39" i="1" s="1"/>
  <c r="AC39" i="1" s="1"/>
  <c r="AO39" i="1"/>
  <c r="AK39" i="1"/>
  <c r="AJ39" i="1"/>
  <c r="AH39" i="1"/>
  <c r="AG39" i="1"/>
  <c r="AF39" i="1"/>
  <c r="AE39" i="1"/>
  <c r="AD39" i="1"/>
  <c r="Z39" i="1"/>
  <c r="J39" i="1"/>
  <c r="AL39" i="1" s="1"/>
  <c r="I39" i="1"/>
  <c r="BJ38" i="1"/>
  <c r="BF38" i="1"/>
  <c r="BD38" i="1"/>
  <c r="AP38" i="1"/>
  <c r="AX38" i="1" s="1"/>
  <c r="AO38" i="1"/>
  <c r="BH38" i="1" s="1"/>
  <c r="AB38" i="1" s="1"/>
  <c r="AL38" i="1"/>
  <c r="AK38" i="1"/>
  <c r="AJ38" i="1"/>
  <c r="AH38" i="1"/>
  <c r="AG38" i="1"/>
  <c r="AF38" i="1"/>
  <c r="AE38" i="1"/>
  <c r="AD38" i="1"/>
  <c r="Z38" i="1"/>
  <c r="J38" i="1"/>
  <c r="I38" i="1"/>
  <c r="H38" i="1"/>
  <c r="BJ36" i="1"/>
  <c r="BF36" i="1"/>
  <c r="BD36" i="1"/>
  <c r="AP36" i="1"/>
  <c r="BI36" i="1" s="1"/>
  <c r="AC36" i="1" s="1"/>
  <c r="AO36" i="1"/>
  <c r="AW36" i="1" s="1"/>
  <c r="AK36" i="1"/>
  <c r="AJ36" i="1"/>
  <c r="AH36" i="1"/>
  <c r="AG36" i="1"/>
  <c r="AF36" i="1"/>
  <c r="AE36" i="1"/>
  <c r="AD36" i="1"/>
  <c r="Z36" i="1"/>
  <c r="J36" i="1"/>
  <c r="AL36" i="1" s="1"/>
  <c r="H36" i="1"/>
  <c r="BJ34" i="1"/>
  <c r="BF34" i="1"/>
  <c r="BD34" i="1"/>
  <c r="AW34" i="1"/>
  <c r="AP34" i="1"/>
  <c r="AX34" i="1" s="1"/>
  <c r="AO34" i="1"/>
  <c r="BH34" i="1" s="1"/>
  <c r="AB34" i="1" s="1"/>
  <c r="AK34" i="1"/>
  <c r="AJ34" i="1"/>
  <c r="AH34" i="1"/>
  <c r="AG34" i="1"/>
  <c r="AF34" i="1"/>
  <c r="AE34" i="1"/>
  <c r="AD34" i="1"/>
  <c r="Z34" i="1"/>
  <c r="J34" i="1"/>
  <c r="AL34" i="1" s="1"/>
  <c r="I34" i="1"/>
  <c r="H34" i="1"/>
  <c r="BJ32" i="1"/>
  <c r="BF32" i="1"/>
  <c r="BD32" i="1"/>
  <c r="AX32" i="1"/>
  <c r="AP32" i="1"/>
  <c r="BI32" i="1" s="1"/>
  <c r="AC32" i="1" s="1"/>
  <c r="AO32" i="1"/>
  <c r="AK32" i="1"/>
  <c r="AJ32" i="1"/>
  <c r="AH32" i="1"/>
  <c r="AG32" i="1"/>
  <c r="AF32" i="1"/>
  <c r="AE32" i="1"/>
  <c r="AD32" i="1"/>
  <c r="Z32" i="1"/>
  <c r="J32" i="1"/>
  <c r="AL32" i="1" s="1"/>
  <c r="I32" i="1"/>
  <c r="BJ31" i="1"/>
  <c r="BF31" i="1"/>
  <c r="BD31" i="1"/>
  <c r="AP31" i="1"/>
  <c r="AX31" i="1" s="1"/>
  <c r="AO31" i="1"/>
  <c r="BH31" i="1" s="1"/>
  <c r="AB31" i="1" s="1"/>
  <c r="AL31" i="1"/>
  <c r="AK31" i="1"/>
  <c r="AJ31" i="1"/>
  <c r="AH31" i="1"/>
  <c r="AG31" i="1"/>
  <c r="AF31" i="1"/>
  <c r="AE31" i="1"/>
  <c r="AD31" i="1"/>
  <c r="Z31" i="1"/>
  <c r="J31" i="1"/>
  <c r="I31" i="1"/>
  <c r="H31" i="1"/>
  <c r="BJ30" i="1"/>
  <c r="BF30" i="1"/>
  <c r="BD30" i="1"/>
  <c r="AP30" i="1"/>
  <c r="BI30" i="1" s="1"/>
  <c r="AC30" i="1" s="1"/>
  <c r="AO30" i="1"/>
  <c r="AW30" i="1" s="1"/>
  <c r="AK30" i="1"/>
  <c r="AJ30" i="1"/>
  <c r="AH30" i="1"/>
  <c r="AG30" i="1"/>
  <c r="AF30" i="1"/>
  <c r="AE30" i="1"/>
  <c r="AD30" i="1"/>
  <c r="Z30" i="1"/>
  <c r="J30" i="1"/>
  <c r="AL30" i="1" s="1"/>
  <c r="H30" i="1"/>
  <c r="BJ28" i="1"/>
  <c r="BF28" i="1"/>
  <c r="BD28" i="1"/>
  <c r="AW28" i="1"/>
  <c r="AP28" i="1"/>
  <c r="AX28" i="1" s="1"/>
  <c r="AO28" i="1"/>
  <c r="BH28" i="1" s="1"/>
  <c r="AB28" i="1" s="1"/>
  <c r="AK28" i="1"/>
  <c r="AJ28" i="1"/>
  <c r="AH28" i="1"/>
  <c r="AG28" i="1"/>
  <c r="AF28" i="1"/>
  <c r="AE28" i="1"/>
  <c r="AD28" i="1"/>
  <c r="Z28" i="1"/>
  <c r="J28" i="1"/>
  <c r="AL28" i="1" s="1"/>
  <c r="I28" i="1"/>
  <c r="H28" i="1"/>
  <c r="BJ27" i="1"/>
  <c r="BF27" i="1"/>
  <c r="BD27" i="1"/>
  <c r="AX27" i="1"/>
  <c r="AP27" i="1"/>
  <c r="BI27" i="1" s="1"/>
  <c r="AC27" i="1" s="1"/>
  <c r="AO27" i="1"/>
  <c r="AW27" i="1" s="1"/>
  <c r="AK27" i="1"/>
  <c r="AJ27" i="1"/>
  <c r="AH27" i="1"/>
  <c r="AG27" i="1"/>
  <c r="AF27" i="1"/>
  <c r="AE27" i="1"/>
  <c r="AD27" i="1"/>
  <c r="Z27" i="1"/>
  <c r="J27" i="1"/>
  <c r="AL27" i="1" s="1"/>
  <c r="I27" i="1"/>
  <c r="BJ25" i="1"/>
  <c r="BF25" i="1"/>
  <c r="BD25" i="1"/>
  <c r="AW25" i="1"/>
  <c r="AP25" i="1"/>
  <c r="AX25" i="1" s="1"/>
  <c r="AO25" i="1"/>
  <c r="BH25" i="1" s="1"/>
  <c r="AB25" i="1" s="1"/>
  <c r="AK25" i="1"/>
  <c r="AJ25" i="1"/>
  <c r="AS21" i="1" s="1"/>
  <c r="AH25" i="1"/>
  <c r="AG25" i="1"/>
  <c r="AF25" i="1"/>
  <c r="AE25" i="1"/>
  <c r="AD25" i="1"/>
  <c r="Z25" i="1"/>
  <c r="J25" i="1"/>
  <c r="AL25" i="1" s="1"/>
  <c r="H25" i="1"/>
  <c r="BJ24" i="1"/>
  <c r="BF24" i="1"/>
  <c r="BD24" i="1"/>
  <c r="AX24" i="1"/>
  <c r="AP24" i="1"/>
  <c r="BI24" i="1" s="1"/>
  <c r="AC24" i="1" s="1"/>
  <c r="AO24" i="1"/>
  <c r="AW24" i="1" s="1"/>
  <c r="AK24" i="1"/>
  <c r="AJ24" i="1"/>
  <c r="AH24" i="1"/>
  <c r="AG24" i="1"/>
  <c r="AF24" i="1"/>
  <c r="AE24" i="1"/>
  <c r="AD24" i="1"/>
  <c r="Z24" i="1"/>
  <c r="J24" i="1"/>
  <c r="AL24" i="1" s="1"/>
  <c r="I24" i="1"/>
  <c r="H24" i="1"/>
  <c r="BJ22" i="1"/>
  <c r="BF22" i="1"/>
  <c r="BD22" i="1"/>
  <c r="AW22" i="1"/>
  <c r="AP22" i="1"/>
  <c r="AX22" i="1" s="1"/>
  <c r="AO22" i="1"/>
  <c r="BH22" i="1" s="1"/>
  <c r="AB22" i="1" s="1"/>
  <c r="AK22" i="1"/>
  <c r="AJ22" i="1"/>
  <c r="AH22" i="1"/>
  <c r="AG22" i="1"/>
  <c r="AF22" i="1"/>
  <c r="AE22" i="1"/>
  <c r="AD22" i="1"/>
  <c r="Z22" i="1"/>
  <c r="J22" i="1"/>
  <c r="AL22" i="1" s="1"/>
  <c r="I22" i="1"/>
  <c r="H22" i="1"/>
  <c r="BJ19" i="1"/>
  <c r="BF19" i="1"/>
  <c r="BD19" i="1"/>
  <c r="AX19" i="1"/>
  <c r="AP19" i="1"/>
  <c r="BI19" i="1" s="1"/>
  <c r="AC19" i="1" s="1"/>
  <c r="AO19" i="1"/>
  <c r="AW19" i="1" s="1"/>
  <c r="AK19" i="1"/>
  <c r="AJ19" i="1"/>
  <c r="AS18" i="1" s="1"/>
  <c r="AH19" i="1"/>
  <c r="AG19" i="1"/>
  <c r="AF19" i="1"/>
  <c r="AE19" i="1"/>
  <c r="AD19" i="1"/>
  <c r="Z19" i="1"/>
  <c r="J19" i="1"/>
  <c r="AL19" i="1" s="1"/>
  <c r="AU18" i="1" s="1"/>
  <c r="I19" i="1"/>
  <c r="I18" i="1" s="1"/>
  <c r="F12" i="2" s="1"/>
  <c r="H19" i="1"/>
  <c r="AT18" i="1"/>
  <c r="H18" i="1"/>
  <c r="E12" i="2" s="1"/>
  <c r="BJ17" i="1"/>
  <c r="BF17" i="1"/>
  <c r="BD17" i="1"/>
  <c r="AP17" i="1"/>
  <c r="AX17" i="1" s="1"/>
  <c r="AO17" i="1"/>
  <c r="BH17" i="1" s="1"/>
  <c r="AB17" i="1" s="1"/>
  <c r="AK17" i="1"/>
  <c r="AJ17" i="1"/>
  <c r="AH17" i="1"/>
  <c r="AG17" i="1"/>
  <c r="AF17" i="1"/>
  <c r="AE17" i="1"/>
  <c r="AD17" i="1"/>
  <c r="Z17" i="1"/>
  <c r="J17" i="1"/>
  <c r="AL17" i="1" s="1"/>
  <c r="BJ16" i="1"/>
  <c r="BF16" i="1"/>
  <c r="BD16" i="1"/>
  <c r="AX16" i="1"/>
  <c r="AP16" i="1"/>
  <c r="BI16" i="1" s="1"/>
  <c r="AC16" i="1" s="1"/>
  <c r="AO16" i="1"/>
  <c r="AW16" i="1" s="1"/>
  <c r="AK16" i="1"/>
  <c r="AJ16" i="1"/>
  <c r="AH16" i="1"/>
  <c r="AG16" i="1"/>
  <c r="AF16" i="1"/>
  <c r="AE16" i="1"/>
  <c r="AD16" i="1"/>
  <c r="Z16" i="1"/>
  <c r="J16" i="1"/>
  <c r="AL16" i="1" s="1"/>
  <c r="I16" i="1"/>
  <c r="BJ15" i="1"/>
  <c r="BF15" i="1"/>
  <c r="BD15" i="1"/>
  <c r="AP15" i="1"/>
  <c r="AX15" i="1" s="1"/>
  <c r="AO15" i="1"/>
  <c r="AL15" i="1"/>
  <c r="AK15" i="1"/>
  <c r="AJ15" i="1"/>
  <c r="AS12" i="1" s="1"/>
  <c r="AH15" i="1"/>
  <c r="AG15" i="1"/>
  <c r="AF15" i="1"/>
  <c r="AE15" i="1"/>
  <c r="AD15" i="1"/>
  <c r="Z15" i="1"/>
  <c r="J15" i="1"/>
  <c r="I15" i="1"/>
  <c r="H15" i="1"/>
  <c r="BJ13" i="1"/>
  <c r="BF13" i="1"/>
  <c r="BD13" i="1"/>
  <c r="AP13" i="1"/>
  <c r="AO13" i="1"/>
  <c r="AW13" i="1" s="1"/>
  <c r="AK13" i="1"/>
  <c r="AJ13" i="1"/>
  <c r="AH13" i="1"/>
  <c r="AG13" i="1"/>
  <c r="AF13" i="1"/>
  <c r="AE13" i="1"/>
  <c r="AD13" i="1"/>
  <c r="Z13" i="1"/>
  <c r="J13" i="1"/>
  <c r="AL13" i="1" s="1"/>
  <c r="AT12" i="1"/>
  <c r="J12" i="1"/>
  <c r="AU1" i="1"/>
  <c r="AT1" i="1"/>
  <c r="AS1" i="1"/>
  <c r="BC68" i="1" l="1"/>
  <c r="BH157" i="1"/>
  <c r="AD157" i="1" s="1"/>
  <c r="AW157" i="1"/>
  <c r="AL176" i="1"/>
  <c r="J175" i="1"/>
  <c r="G33" i="2" s="1"/>
  <c r="I33" i="2" s="1"/>
  <c r="AX76" i="1"/>
  <c r="BI76" i="1"/>
  <c r="AC76" i="1" s="1"/>
  <c r="AX137" i="1"/>
  <c r="BI137" i="1"/>
  <c r="AE137" i="1" s="1"/>
  <c r="BH67" i="1"/>
  <c r="AB67" i="1" s="1"/>
  <c r="AW67" i="1"/>
  <c r="AV67" i="1" s="1"/>
  <c r="J108" i="1"/>
  <c r="G27" i="2" s="1"/>
  <c r="I27" i="2" s="1"/>
  <c r="C28" i="3"/>
  <c r="F28" i="3" s="1"/>
  <c r="BH15" i="1"/>
  <c r="AB15" i="1" s="1"/>
  <c r="AW15" i="1"/>
  <c r="AV15" i="1" s="1"/>
  <c r="AW32" i="1"/>
  <c r="BC32" i="1" s="1"/>
  <c r="H32" i="1"/>
  <c r="AW39" i="1"/>
  <c r="BC39" i="1" s="1"/>
  <c r="H39" i="1"/>
  <c r="AW47" i="1"/>
  <c r="H47" i="1"/>
  <c r="BH49" i="1"/>
  <c r="AB49" i="1" s="1"/>
  <c r="AW49" i="1"/>
  <c r="BI52" i="1"/>
  <c r="AC52" i="1" s="1"/>
  <c r="BC54" i="1"/>
  <c r="H65" i="1"/>
  <c r="AW91" i="1"/>
  <c r="BC91" i="1" s="1"/>
  <c r="H91" i="1"/>
  <c r="AW125" i="1"/>
  <c r="BC125" i="1" s="1"/>
  <c r="H125" i="1"/>
  <c r="BC127" i="1"/>
  <c r="BH133" i="1"/>
  <c r="AD133" i="1" s="1"/>
  <c r="AW133" i="1"/>
  <c r="H139" i="1"/>
  <c r="AT163" i="1"/>
  <c r="AW181" i="1"/>
  <c r="H181" i="1"/>
  <c r="BH186" i="1"/>
  <c r="AD186" i="1" s="1"/>
  <c r="AW186" i="1"/>
  <c r="BI54" i="1"/>
  <c r="AC54" i="1" s="1"/>
  <c r="AX54" i="1"/>
  <c r="I54" i="1"/>
  <c r="BH137" i="1"/>
  <c r="AD137" i="1" s="1"/>
  <c r="AW137" i="1"/>
  <c r="AX78" i="1"/>
  <c r="AV78" i="1" s="1"/>
  <c r="BH80" i="1"/>
  <c r="AB80" i="1" s="1"/>
  <c r="AW80" i="1"/>
  <c r="BI13" i="1"/>
  <c r="AC13" i="1" s="1"/>
  <c r="AX13" i="1"/>
  <c r="AV13" i="1" s="1"/>
  <c r="I13" i="1"/>
  <c r="AW131" i="1"/>
  <c r="BC131" i="1" s="1"/>
  <c r="H131" i="1"/>
  <c r="H137" i="1"/>
  <c r="H68" i="1"/>
  <c r="AV76" i="1"/>
  <c r="AS83" i="1"/>
  <c r="AW88" i="1"/>
  <c r="BC88" i="1" s="1"/>
  <c r="H88" i="1"/>
  <c r="BH119" i="1"/>
  <c r="H119" i="1"/>
  <c r="AW121" i="1"/>
  <c r="H121" i="1"/>
  <c r="H120" i="1" s="1"/>
  <c r="E28" i="2" s="1"/>
  <c r="J130" i="1"/>
  <c r="G29" i="2" s="1"/>
  <c r="I29" i="2" s="1"/>
  <c r="I137" i="1"/>
  <c r="BI152" i="1"/>
  <c r="AE152" i="1" s="1"/>
  <c r="AX152" i="1"/>
  <c r="AV152" i="1" s="1"/>
  <c r="I152" i="1"/>
  <c r="H157" i="1"/>
  <c r="BH162" i="1"/>
  <c r="AW162" i="1"/>
  <c r="H162" i="1"/>
  <c r="BH180" i="1"/>
  <c r="AD180" i="1" s="1"/>
  <c r="AW180" i="1"/>
  <c r="BH182" i="1"/>
  <c r="AD182" i="1" s="1"/>
  <c r="AW182" i="1"/>
  <c r="BI184" i="1"/>
  <c r="AX184" i="1"/>
  <c r="BI68" i="1"/>
  <c r="AC68" i="1" s="1"/>
  <c r="AX68" i="1"/>
  <c r="I68" i="1"/>
  <c r="I78" i="1"/>
  <c r="BH90" i="1"/>
  <c r="AB90" i="1" s="1"/>
  <c r="AW90" i="1"/>
  <c r="AV90" i="1" s="1"/>
  <c r="H13" i="1"/>
  <c r="H12" i="1" s="1"/>
  <c r="E11" i="2" s="1"/>
  <c r="AT40" i="1"/>
  <c r="H52" i="1"/>
  <c r="H51" i="1" s="1"/>
  <c r="E17" i="2" s="1"/>
  <c r="AS40" i="1"/>
  <c r="I52" i="1"/>
  <c r="BI59" i="1"/>
  <c r="AC59" i="1" s="1"/>
  <c r="AX59" i="1"/>
  <c r="AV59" i="1" s="1"/>
  <c r="I59" i="1"/>
  <c r="BH99" i="1"/>
  <c r="H99" i="1"/>
  <c r="H98" i="1" s="1"/>
  <c r="E26" i="2" s="1"/>
  <c r="AX107" i="1"/>
  <c r="BC107" i="1" s="1"/>
  <c r="I107" i="1"/>
  <c r="H109" i="1"/>
  <c r="AX119" i="1"/>
  <c r="BI119" i="1"/>
  <c r="I119" i="1"/>
  <c r="H128" i="1"/>
  <c r="BH129" i="1"/>
  <c r="AW129" i="1"/>
  <c r="BI135" i="1"/>
  <c r="AE135" i="1" s="1"/>
  <c r="AX135" i="1"/>
  <c r="I135" i="1"/>
  <c r="BC139" i="1"/>
  <c r="H152" i="1"/>
  <c r="AW155" i="1"/>
  <c r="H155" i="1"/>
  <c r="H154" i="1" s="1"/>
  <c r="E30" i="2" s="1"/>
  <c r="AW179" i="1"/>
  <c r="H179" i="1"/>
  <c r="I21" i="1"/>
  <c r="F13" i="2" s="1"/>
  <c r="BC80" i="1"/>
  <c r="BH123" i="1"/>
  <c r="AD123" i="1" s="1"/>
  <c r="AW123" i="1"/>
  <c r="AV123" i="1" s="1"/>
  <c r="AT33" i="1"/>
  <c r="I76" i="1"/>
  <c r="BH107" i="1"/>
  <c r="H107" i="1"/>
  <c r="H17" i="1"/>
  <c r="AS33" i="1"/>
  <c r="H16" i="1"/>
  <c r="I17" i="1"/>
  <c r="I12" i="1" s="1"/>
  <c r="F11" i="2" s="1"/>
  <c r="AW17" i="1"/>
  <c r="AV17" i="1" s="1"/>
  <c r="J18" i="1"/>
  <c r="G12" i="2" s="1"/>
  <c r="I12" i="2" s="1"/>
  <c r="H21" i="1"/>
  <c r="E13" i="2" s="1"/>
  <c r="I25" i="1"/>
  <c r="AV25" i="1"/>
  <c r="BH57" i="1"/>
  <c r="AB57" i="1" s="1"/>
  <c r="AW57" i="1"/>
  <c r="AV57" i="1" s="1"/>
  <c r="H59" i="1"/>
  <c r="H56" i="1" s="1"/>
  <c r="E18" i="2" s="1"/>
  <c r="AX63" i="1"/>
  <c r="BC63" i="1" s="1"/>
  <c r="BI63" i="1"/>
  <c r="AC63" i="1" s="1"/>
  <c r="BI65" i="1"/>
  <c r="AC65" i="1" s="1"/>
  <c r="AX65" i="1"/>
  <c r="AV65" i="1" s="1"/>
  <c r="I65" i="1"/>
  <c r="I64" i="1" s="1"/>
  <c r="F19" i="2" s="1"/>
  <c r="BH93" i="1"/>
  <c r="AB93" i="1" s="1"/>
  <c r="AW93" i="1"/>
  <c r="BC93" i="1" s="1"/>
  <c r="AX99" i="1"/>
  <c r="BC99" i="1" s="1"/>
  <c r="I99" i="1"/>
  <c r="BH102" i="1"/>
  <c r="AW102" i="1"/>
  <c r="AW107" i="1"/>
  <c r="I109" i="1"/>
  <c r="AX109" i="1"/>
  <c r="BC109" i="1" s="1"/>
  <c r="AS108" i="1"/>
  <c r="AW119" i="1"/>
  <c r="BC119" i="1" s="1"/>
  <c r="BH127" i="1"/>
  <c r="AD127" i="1" s="1"/>
  <c r="AW127" i="1"/>
  <c r="I128" i="1"/>
  <c r="AX128" i="1"/>
  <c r="H135" i="1"/>
  <c r="BI139" i="1"/>
  <c r="AE139" i="1" s="1"/>
  <c r="I139" i="1"/>
  <c r="AX139" i="1"/>
  <c r="BH151" i="1"/>
  <c r="AD151" i="1" s="1"/>
  <c r="H151" i="1"/>
  <c r="AW151" i="1"/>
  <c r="AX159" i="1"/>
  <c r="BI159" i="1"/>
  <c r="AE159" i="1" s="1"/>
  <c r="I160" i="1"/>
  <c r="AX160" i="1"/>
  <c r="AW172" i="1"/>
  <c r="H172" i="1"/>
  <c r="H182" i="1"/>
  <c r="H185" i="1"/>
  <c r="E34" i="2" s="1"/>
  <c r="F22" i="3"/>
  <c r="C20" i="3"/>
  <c r="H27" i="1"/>
  <c r="I30" i="1"/>
  <c r="AX30" i="1"/>
  <c r="BC30" i="1" s="1"/>
  <c r="AW31" i="1"/>
  <c r="AV31" i="1" s="1"/>
  <c r="I36" i="1"/>
  <c r="I33" i="1" s="1"/>
  <c r="F14" i="2" s="1"/>
  <c r="AX36" i="1"/>
  <c r="AV36" i="1" s="1"/>
  <c r="AW38" i="1"/>
  <c r="AV38" i="1" s="1"/>
  <c r="I43" i="1"/>
  <c r="I40" i="1" s="1"/>
  <c r="F15" i="2" s="1"/>
  <c r="AX43" i="1"/>
  <c r="AV43" i="1" s="1"/>
  <c r="AW45" i="1"/>
  <c r="AV45" i="1" s="1"/>
  <c r="AV71" i="1"/>
  <c r="BC78" i="1"/>
  <c r="H83" i="1"/>
  <c r="E24" i="2" s="1"/>
  <c r="AT98" i="1"/>
  <c r="BC105" i="1"/>
  <c r="AU130" i="1"/>
  <c r="AT130" i="1"/>
  <c r="BC160" i="1"/>
  <c r="AS163" i="1"/>
  <c r="AS168" i="1"/>
  <c r="AS175" i="1"/>
  <c r="BC133" i="1"/>
  <c r="AS56" i="1"/>
  <c r="BC73" i="1"/>
  <c r="BI84" i="1"/>
  <c r="AC84" i="1" s="1"/>
  <c r="BC96" i="1"/>
  <c r="AS98" i="1"/>
  <c r="BC102" i="1"/>
  <c r="I105" i="1"/>
  <c r="AU108" i="1"/>
  <c r="AT108" i="1"/>
  <c r="BI115" i="1"/>
  <c r="AE115" i="1" s="1"/>
  <c r="BC129" i="1"/>
  <c r="BI145" i="1"/>
  <c r="AE145" i="1" s="1"/>
  <c r="I155" i="1"/>
  <c r="AX155" i="1"/>
  <c r="AV155" i="1" s="1"/>
  <c r="AS154" i="1"/>
  <c r="H164" i="1"/>
  <c r="I163" i="1"/>
  <c r="F31" i="2" s="1"/>
  <c r="BC167" i="1"/>
  <c r="BC170" i="1"/>
  <c r="H171" i="1"/>
  <c r="I172" i="1"/>
  <c r="AX172" i="1"/>
  <c r="BC176" i="1"/>
  <c r="H177" i="1"/>
  <c r="I179" i="1"/>
  <c r="AX179" i="1"/>
  <c r="BC179" i="1" s="1"/>
  <c r="I181" i="1"/>
  <c r="AX181" i="1"/>
  <c r="H192" i="1"/>
  <c r="H191" i="1" s="1"/>
  <c r="E36" i="2" s="1"/>
  <c r="BC149" i="1"/>
  <c r="H165" i="1"/>
  <c r="I18" i="4"/>
  <c r="AT21" i="1"/>
  <c r="H33" i="1"/>
  <c r="E14" i="2" s="1"/>
  <c r="H40" i="1"/>
  <c r="E15" i="2" s="1"/>
  <c r="H70" i="1"/>
  <c r="E20" i="2" s="1"/>
  <c r="AT75" i="1"/>
  <c r="BC82" i="1"/>
  <c r="BC85" i="1"/>
  <c r="BC86" i="1"/>
  <c r="I88" i="1"/>
  <c r="AX88" i="1"/>
  <c r="AX104" i="1"/>
  <c r="BC117" i="1"/>
  <c r="AX121" i="1"/>
  <c r="AX131" i="1"/>
  <c r="AS130" i="1"/>
  <c r="BC146" i="1"/>
  <c r="BC148" i="1"/>
  <c r="AX149" i="1"/>
  <c r="AV149" i="1" s="1"/>
  <c r="AW153" i="1"/>
  <c r="AU154" i="1"/>
  <c r="AT154" i="1"/>
  <c r="AX164" i="1"/>
  <c r="BC164" i="1" s="1"/>
  <c r="AW165" i="1"/>
  <c r="H168" i="1"/>
  <c r="E32" i="2" s="1"/>
  <c r="AW171" i="1"/>
  <c r="AW177" i="1"/>
  <c r="AX192" i="1"/>
  <c r="BC192" i="1" s="1"/>
  <c r="BC13" i="1"/>
  <c r="BC24" i="1"/>
  <c r="AV24" i="1"/>
  <c r="AV30" i="1"/>
  <c r="BC36" i="1"/>
  <c r="BC43" i="1"/>
  <c r="AU12" i="1"/>
  <c r="BC16" i="1"/>
  <c r="AV16" i="1"/>
  <c r="BC19" i="1"/>
  <c r="AV19" i="1"/>
  <c r="AV22" i="1"/>
  <c r="AU21" i="1"/>
  <c r="BC27" i="1"/>
  <c r="AV27" i="1"/>
  <c r="AV28" i="1"/>
  <c r="AV34" i="1"/>
  <c r="AU33" i="1"/>
  <c r="AV39" i="1"/>
  <c r="AV41" i="1"/>
  <c r="AU40" i="1"/>
  <c r="BC47" i="1"/>
  <c r="AV47" i="1"/>
  <c r="AV49" i="1"/>
  <c r="BH13" i="1"/>
  <c r="AB13" i="1" s="1"/>
  <c r="BI15" i="1"/>
  <c r="AC15" i="1" s="1"/>
  <c r="BH16" i="1"/>
  <c r="AB16" i="1" s="1"/>
  <c r="BC17" i="1"/>
  <c r="BI17" i="1"/>
  <c r="AC17" i="1" s="1"/>
  <c r="BH19" i="1"/>
  <c r="AB19" i="1" s="1"/>
  <c r="BC22" i="1"/>
  <c r="BI22" i="1"/>
  <c r="AC22" i="1" s="1"/>
  <c r="BH24" i="1"/>
  <c r="AB24" i="1" s="1"/>
  <c r="BC25" i="1"/>
  <c r="BI25" i="1"/>
  <c r="AC25" i="1" s="1"/>
  <c r="BH27" i="1"/>
  <c r="AB27" i="1" s="1"/>
  <c r="BC28" i="1"/>
  <c r="BI28" i="1"/>
  <c r="AC28" i="1" s="1"/>
  <c r="BH30" i="1"/>
  <c r="AB30" i="1" s="1"/>
  <c r="BC31" i="1"/>
  <c r="BI31" i="1"/>
  <c r="AC31" i="1" s="1"/>
  <c r="BH32" i="1"/>
  <c r="AB32" i="1" s="1"/>
  <c r="BC34" i="1"/>
  <c r="BI34" i="1"/>
  <c r="AC34" i="1" s="1"/>
  <c r="BH36" i="1"/>
  <c r="AB36" i="1" s="1"/>
  <c r="BC38" i="1"/>
  <c r="BI38" i="1"/>
  <c r="AC38" i="1" s="1"/>
  <c r="BH39" i="1"/>
  <c r="AB39" i="1" s="1"/>
  <c r="BC41" i="1"/>
  <c r="BI41" i="1"/>
  <c r="AC41" i="1" s="1"/>
  <c r="BH43" i="1"/>
  <c r="AB43" i="1" s="1"/>
  <c r="BC45" i="1"/>
  <c r="BI45" i="1"/>
  <c r="AC45" i="1" s="1"/>
  <c r="BH47" i="1"/>
  <c r="AB47" i="1" s="1"/>
  <c r="BC49" i="1"/>
  <c r="BI49" i="1"/>
  <c r="AC49" i="1" s="1"/>
  <c r="AV54" i="1"/>
  <c r="BH54" i="1"/>
  <c r="AB54" i="1" s="1"/>
  <c r="AL59" i="1"/>
  <c r="AU56" i="1" s="1"/>
  <c r="J56" i="1"/>
  <c r="G18" i="2" s="1"/>
  <c r="I18" i="2" s="1"/>
  <c r="BH59" i="1"/>
  <c r="AB59" i="1" s="1"/>
  <c r="AV68" i="1"/>
  <c r="BH68" i="1"/>
  <c r="AB68" i="1" s="1"/>
  <c r="AL73" i="1"/>
  <c r="AU70" i="1" s="1"/>
  <c r="J70" i="1"/>
  <c r="G20" i="2" s="1"/>
  <c r="I20" i="2" s="1"/>
  <c r="AV73" i="1"/>
  <c r="BH73" i="1"/>
  <c r="AB73" i="1" s="1"/>
  <c r="AL78" i="1"/>
  <c r="AU75" i="1" s="1"/>
  <c r="J75" i="1"/>
  <c r="G21" i="2" s="1"/>
  <c r="I21" i="2" s="1"/>
  <c r="BH78" i="1"/>
  <c r="AB78" i="1" s="1"/>
  <c r="AV82" i="1"/>
  <c r="BH82" i="1"/>
  <c r="AL85" i="1"/>
  <c r="AU83" i="1" s="1"/>
  <c r="J83" i="1"/>
  <c r="G24" i="2" s="1"/>
  <c r="I24" i="2" s="1"/>
  <c r="AV85" i="1"/>
  <c r="BH85" i="1"/>
  <c r="AB85" i="1" s="1"/>
  <c r="BH91" i="1"/>
  <c r="AB91" i="1" s="1"/>
  <c r="AV96" i="1"/>
  <c r="BH96" i="1"/>
  <c r="AB96" i="1" s="1"/>
  <c r="AV109" i="1"/>
  <c r="BH109" i="1"/>
  <c r="AD109" i="1" s="1"/>
  <c r="AV117" i="1"/>
  <c r="BH117" i="1"/>
  <c r="AD117" i="1" s="1"/>
  <c r="AV125" i="1"/>
  <c r="BH125" i="1"/>
  <c r="AD125" i="1" s="1"/>
  <c r="BH131" i="1"/>
  <c r="AD131" i="1" s="1"/>
  <c r="AV139" i="1"/>
  <c r="BH139" i="1"/>
  <c r="AD139" i="1" s="1"/>
  <c r="AV146" i="1"/>
  <c r="BH146" i="1"/>
  <c r="AD146" i="1" s="1"/>
  <c r="BH149" i="1"/>
  <c r="AD149" i="1" s="1"/>
  <c r="BH155" i="1"/>
  <c r="AD155" i="1" s="1"/>
  <c r="AV159" i="1"/>
  <c r="BC159" i="1"/>
  <c r="AL167" i="1"/>
  <c r="J163" i="1"/>
  <c r="G31" i="2" s="1"/>
  <c r="I31" i="2" s="1"/>
  <c r="AV167" i="1"/>
  <c r="BH167" i="1"/>
  <c r="AV169" i="1"/>
  <c r="BC169" i="1"/>
  <c r="AX171" i="1"/>
  <c r="BI171" i="1"/>
  <c r="AE171" i="1" s="1"/>
  <c r="I171" i="1"/>
  <c r="I168" i="1" s="1"/>
  <c r="F32" i="2" s="1"/>
  <c r="AX174" i="1"/>
  <c r="BC174" i="1" s="1"/>
  <c r="BI174" i="1"/>
  <c r="AX177" i="1"/>
  <c r="BC177" i="1" s="1"/>
  <c r="BI177" i="1"/>
  <c r="AE177" i="1" s="1"/>
  <c r="I177" i="1"/>
  <c r="AV181" i="1"/>
  <c r="BH181" i="1"/>
  <c r="AD181" i="1" s="1"/>
  <c r="G11" i="2"/>
  <c r="I11" i="2" s="1"/>
  <c r="C21" i="3"/>
  <c r="C19" i="3"/>
  <c r="C27" i="3"/>
  <c r="J21" i="1"/>
  <c r="G13" i="2" s="1"/>
  <c r="I13" i="2" s="1"/>
  <c r="J33" i="1"/>
  <c r="G14" i="2" s="1"/>
  <c r="I14" i="2" s="1"/>
  <c r="J40" i="1"/>
  <c r="G15" i="2" s="1"/>
  <c r="I15" i="2" s="1"/>
  <c r="AW52" i="1"/>
  <c r="AT56" i="1"/>
  <c r="I61" i="1"/>
  <c r="I56" i="1" s="1"/>
  <c r="F18" i="2" s="1"/>
  <c r="AV61" i="1"/>
  <c r="BI61" i="1"/>
  <c r="AC61" i="1" s="1"/>
  <c r="BC62" i="1"/>
  <c r="AV62" i="1"/>
  <c r="BH62" i="1"/>
  <c r="AB62" i="1" s="1"/>
  <c r="J64" i="1"/>
  <c r="G19" i="2" s="1"/>
  <c r="I19" i="2" s="1"/>
  <c r="AU64" i="1"/>
  <c r="BC65" i="1"/>
  <c r="BH65" i="1"/>
  <c r="AB65" i="1" s="1"/>
  <c r="BC67" i="1"/>
  <c r="BC71" i="1"/>
  <c r="BC76" i="1"/>
  <c r="I80" i="1"/>
  <c r="I79" i="1" s="1"/>
  <c r="F22" i="2" s="1"/>
  <c r="AV80" i="1"/>
  <c r="BI80" i="1"/>
  <c r="AC80" i="1" s="1"/>
  <c r="J81" i="1"/>
  <c r="G23" i="2" s="1"/>
  <c r="I23" i="2" s="1"/>
  <c r="BC84" i="1"/>
  <c r="AT83" i="1"/>
  <c r="I86" i="1"/>
  <c r="AV86" i="1"/>
  <c r="BI86" i="1"/>
  <c r="AC86" i="1" s="1"/>
  <c r="BH88" i="1"/>
  <c r="AB88" i="1" s="1"/>
  <c r="BC90" i="1"/>
  <c r="I93" i="1"/>
  <c r="AV93" i="1"/>
  <c r="BI93" i="1"/>
  <c r="AC93" i="1" s="1"/>
  <c r="J95" i="1"/>
  <c r="G25" i="2" s="1"/>
  <c r="I25" i="2" s="1"/>
  <c r="AV99" i="1"/>
  <c r="BI99" i="1"/>
  <c r="AL100" i="1"/>
  <c r="AU98" i="1" s="1"/>
  <c r="J98" i="1"/>
  <c r="G26" i="2" s="1"/>
  <c r="I26" i="2" s="1"/>
  <c r="BC100" i="1"/>
  <c r="AV100" i="1"/>
  <c r="BH100" i="1"/>
  <c r="AV102" i="1"/>
  <c r="BI102" i="1"/>
  <c r="BC104" i="1"/>
  <c r="AV104" i="1"/>
  <c r="BH104" i="1"/>
  <c r="AV105" i="1"/>
  <c r="BI105" i="1"/>
  <c r="BC106" i="1"/>
  <c r="AV106" i="1"/>
  <c r="BH106" i="1"/>
  <c r="BI107" i="1"/>
  <c r="I111" i="1"/>
  <c r="I108" i="1" s="1"/>
  <c r="F27" i="2" s="1"/>
  <c r="AV111" i="1"/>
  <c r="BI111" i="1"/>
  <c r="AE111" i="1" s="1"/>
  <c r="BC113" i="1"/>
  <c r="AV113" i="1"/>
  <c r="BH113" i="1"/>
  <c r="AD113" i="1" s="1"/>
  <c r="BC115" i="1"/>
  <c r="J120" i="1"/>
  <c r="G28" i="2" s="1"/>
  <c r="I28" i="2" s="1"/>
  <c r="AU120" i="1"/>
  <c r="BC121" i="1"/>
  <c r="AV121" i="1"/>
  <c r="BH121" i="1"/>
  <c r="AD121" i="1" s="1"/>
  <c r="AS120" i="1"/>
  <c r="BC123" i="1"/>
  <c r="I127" i="1"/>
  <c r="AV127" i="1"/>
  <c r="BI127" i="1"/>
  <c r="AE127" i="1" s="1"/>
  <c r="BC128" i="1"/>
  <c r="AV128" i="1"/>
  <c r="BH128" i="1"/>
  <c r="AD128" i="1" s="1"/>
  <c r="AV129" i="1"/>
  <c r="BI129" i="1"/>
  <c r="I133" i="1"/>
  <c r="AV133" i="1"/>
  <c r="BI133" i="1"/>
  <c r="AE133" i="1" s="1"/>
  <c r="BC135" i="1"/>
  <c r="AV135" i="1"/>
  <c r="BH135" i="1"/>
  <c r="AD135" i="1" s="1"/>
  <c r="BC137" i="1"/>
  <c r="I141" i="1"/>
  <c r="AV141" i="1"/>
  <c r="BI141" i="1"/>
  <c r="AE141" i="1" s="1"/>
  <c r="BC143" i="1"/>
  <c r="AV143" i="1"/>
  <c r="BH143" i="1"/>
  <c r="AD143" i="1" s="1"/>
  <c r="BC145" i="1"/>
  <c r="I148" i="1"/>
  <c r="AV148" i="1"/>
  <c r="BI148" i="1"/>
  <c r="AE148" i="1" s="1"/>
  <c r="H149" i="1"/>
  <c r="AX151" i="1"/>
  <c r="BC151" i="1" s="1"/>
  <c r="BI151" i="1"/>
  <c r="AE151" i="1" s="1"/>
  <c r="I151" i="1"/>
  <c r="AX153" i="1"/>
  <c r="BC153" i="1" s="1"/>
  <c r="BI153" i="1"/>
  <c r="J154" i="1"/>
  <c r="G30" i="2" s="1"/>
  <c r="I30" i="2" s="1"/>
  <c r="AX157" i="1"/>
  <c r="BC157" i="1" s="1"/>
  <c r="BI157" i="1"/>
  <c r="AE157" i="1" s="1"/>
  <c r="I157" i="1"/>
  <c r="I154" i="1" s="1"/>
  <c r="F30" i="2" s="1"/>
  <c r="AV160" i="1"/>
  <c r="BH160" i="1"/>
  <c r="AD160" i="1" s="1"/>
  <c r="AV162" i="1"/>
  <c r="BC162" i="1"/>
  <c r="AV165" i="1"/>
  <c r="BC165" i="1"/>
  <c r="AL170" i="1"/>
  <c r="AU168" i="1" s="1"/>
  <c r="J168" i="1"/>
  <c r="G32" i="2" s="1"/>
  <c r="I32" i="2" s="1"/>
  <c r="AV170" i="1"/>
  <c r="BH170" i="1"/>
  <c r="AD170" i="1" s="1"/>
  <c r="H175" i="1"/>
  <c r="E33" i="2" s="1"/>
  <c r="AU175" i="1"/>
  <c r="AV176" i="1"/>
  <c r="BH176" i="1"/>
  <c r="AD176" i="1" s="1"/>
  <c r="AV180" i="1"/>
  <c r="BC180" i="1"/>
  <c r="AX182" i="1"/>
  <c r="BC182" i="1" s="1"/>
  <c r="BI182" i="1"/>
  <c r="AE182" i="1" s="1"/>
  <c r="I182" i="1"/>
  <c r="AX186" i="1"/>
  <c r="BC186" i="1" s="1"/>
  <c r="BI186" i="1"/>
  <c r="AE186" i="1" s="1"/>
  <c r="I186" i="1"/>
  <c r="I185" i="1" s="1"/>
  <c r="F34" i="2" s="1"/>
  <c r="AT185" i="1"/>
  <c r="BC152" i="1"/>
  <c r="BH152" i="1"/>
  <c r="AD152" i="1" s="1"/>
  <c r="BC158" i="1"/>
  <c r="AV158" i="1"/>
  <c r="BH158" i="1"/>
  <c r="AD158" i="1" s="1"/>
  <c r="AU163" i="1"/>
  <c r="BH164" i="1"/>
  <c r="AD164" i="1" s="1"/>
  <c r="AT168" i="1"/>
  <c r="AV171" i="1"/>
  <c r="BC172" i="1"/>
  <c r="AV172" i="1"/>
  <c r="BH172" i="1"/>
  <c r="AD172" i="1" s="1"/>
  <c r="AV174" i="1"/>
  <c r="AV179" i="1"/>
  <c r="BH179" i="1"/>
  <c r="AD179" i="1" s="1"/>
  <c r="BC184" i="1"/>
  <c r="AV184" i="1"/>
  <c r="BH184" i="1"/>
  <c r="AV186" i="1"/>
  <c r="AL187" i="1"/>
  <c r="AU185" i="1" s="1"/>
  <c r="J185" i="1"/>
  <c r="G34" i="2" s="1"/>
  <c r="I34" i="2" s="1"/>
  <c r="BH187" i="1"/>
  <c r="AD187" i="1" s="1"/>
  <c r="AW187" i="1"/>
  <c r="AV190" i="1"/>
  <c r="BC190" i="1"/>
  <c r="BI187" i="1"/>
  <c r="AE187" i="1" s="1"/>
  <c r="BC188" i="1"/>
  <c r="AV188" i="1"/>
  <c r="BH188" i="1"/>
  <c r="AD188" i="1" s="1"/>
  <c r="AV192" i="1"/>
  <c r="BH192" i="1"/>
  <c r="AF192" i="1" s="1"/>
  <c r="C18" i="3" s="1"/>
  <c r="I175" i="1" l="1"/>
  <c r="F33" i="2" s="1"/>
  <c r="C16" i="3"/>
  <c r="AV151" i="1"/>
  <c r="BC57" i="1"/>
  <c r="BC171" i="1"/>
  <c r="AV131" i="1"/>
  <c r="C15" i="3"/>
  <c r="BC155" i="1"/>
  <c r="H108" i="1"/>
  <c r="E27" i="2" s="1"/>
  <c r="AV137" i="1"/>
  <c r="AV164" i="1"/>
  <c r="AV119" i="1"/>
  <c r="H64" i="1"/>
  <c r="E19" i="2" s="1"/>
  <c r="BC59" i="1"/>
  <c r="AV153" i="1"/>
  <c r="AV182" i="1"/>
  <c r="H130" i="1"/>
  <c r="E29" i="2" s="1"/>
  <c r="AV107" i="1"/>
  <c r="AV88" i="1"/>
  <c r="AV32" i="1"/>
  <c r="H163" i="1"/>
  <c r="E31" i="2" s="1"/>
  <c r="I98" i="1"/>
  <c r="F26" i="2" s="1"/>
  <c r="I75" i="1"/>
  <c r="F21" i="2" s="1"/>
  <c r="I51" i="1"/>
  <c r="F17" i="2" s="1"/>
  <c r="BC181" i="1"/>
  <c r="AV63" i="1"/>
  <c r="I120" i="1"/>
  <c r="F28" i="2" s="1"/>
  <c r="AV91" i="1"/>
  <c r="BC15" i="1"/>
  <c r="C17" i="3"/>
  <c r="I130" i="1"/>
  <c r="F29" i="2" s="1"/>
  <c r="J194" i="1"/>
  <c r="AV187" i="1"/>
  <c r="BC187" i="1"/>
  <c r="AV177" i="1"/>
  <c r="AV157" i="1"/>
  <c r="I83" i="1"/>
  <c r="F24" i="2" s="1"/>
  <c r="BC52" i="1"/>
  <c r="AV52" i="1"/>
  <c r="G37" i="2"/>
  <c r="C14" i="3"/>
  <c r="C22" i="3" l="1"/>
  <c r="H27" i="4" s="1"/>
  <c r="I27" i="4" s="1"/>
  <c r="F29" i="4" s="1"/>
  <c r="I22" i="3"/>
  <c r="C29" i="3" s="1"/>
  <c r="F29" i="3" l="1"/>
  <c r="I28" i="3"/>
  <c r="I29" i="3" s="1"/>
</calcChain>
</file>

<file path=xl/sharedStrings.xml><?xml version="1.0" encoding="utf-8"?>
<sst xmlns="http://schemas.openxmlformats.org/spreadsheetml/2006/main" count="1825" uniqueCount="561">
  <si>
    <t>Slepý stavební rozpočet</t>
  </si>
  <si>
    <t>Název stavby:</t>
  </si>
  <si>
    <t>Doba výstavby:</t>
  </si>
  <si>
    <t xml:space="preserve"> </t>
  </si>
  <si>
    <t>Objednatel:</t>
  </si>
  <si>
    <t>SOŠ a SOÚ Kladno</t>
  </si>
  <si>
    <t>Druh stavby:</t>
  </si>
  <si>
    <t>Začátek výstavby:</t>
  </si>
  <si>
    <t>Projektant:</t>
  </si>
  <si>
    <t>Atelér Civilista s.r.o.</t>
  </si>
  <si>
    <t>Lokalita:</t>
  </si>
  <si>
    <t>nám.Edvarda Beneše 23,53, Kladno, parc. č.543, k.ú.Kladno</t>
  </si>
  <si>
    <t>Konec výstavby:</t>
  </si>
  <si>
    <t>Zhotovitel:</t>
  </si>
  <si>
    <t>Dle výběrového řízení</t>
  </si>
  <si>
    <t>JKSO:</t>
  </si>
  <si>
    <t>Zpracováno dne:</t>
  </si>
  <si>
    <t>01.08.2024</t>
  </si>
  <si>
    <t>Zpracoval:</t>
  </si>
  <si>
    <t> 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</si>
  <si>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</si>
  <si>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</si>
  <si>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</si>
  <si>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</si>
  <si>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</si>
  <si>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</si>
  <si>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</si>
  <si>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</si>
  <si>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</si>
  <si>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</si>
  <si>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</si>
  <si>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</si>
  <si>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</si>
  <si>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</si>
  <si>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</si>
  <si>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</si>
  <si>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</si>
  <si>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</si>
  <si>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</si>
  <si>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</si>
  <si>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</si>
  <si>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</si>
  <si>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</si>
  <si>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</si>
  <si>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</si>
  <si>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</si>
  <si>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</si>
  <si>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</si>
  <si>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</si>
  <si>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</si>
  <si>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13</t>
  </si>
  <si>
    <t>Hloubené vykopávky</t>
  </si>
  <si>
    <t>1</t>
  </si>
  <si>
    <t>132200010RAC</t>
  </si>
  <si>
    <t>Hloubení nezapaž. rýh šířky do 60 cm v hornině 1-4</t>
  </si>
  <si>
    <t>m3</t>
  </si>
  <si>
    <t>RTS I / 2024</t>
  </si>
  <si>
    <t>13_</t>
  </si>
  <si>
    <t>1_</t>
  </si>
  <si>
    <t>_</t>
  </si>
  <si>
    <t>Varianta:</t>
  </si>
  <si>
    <t>odvoz do 10 km, uložení na skládku</t>
  </si>
  <si>
    <t>2</t>
  </si>
  <si>
    <t>133201101R00</t>
  </si>
  <si>
    <t>Hloubení šachet v hor.3 do 100 m3</t>
  </si>
  <si>
    <t>3</t>
  </si>
  <si>
    <t>133201109R00</t>
  </si>
  <si>
    <t>Příplatek za lepivost - hloubení šachet v hor.3</t>
  </si>
  <si>
    <t>4</t>
  </si>
  <si>
    <t>199000002R00</t>
  </si>
  <si>
    <t>Poplatek za skládku horniny 1- 4, č. dle katal. odpadů 17 05 04</t>
  </si>
  <si>
    <t>18</t>
  </si>
  <si>
    <t>Povrchové úpravy terénu</t>
  </si>
  <si>
    <t>5</t>
  </si>
  <si>
    <t>181101102R00</t>
  </si>
  <si>
    <t>Úprava pláně v zářezech v hor. 1-4, se zhutněním</t>
  </si>
  <si>
    <t>m2</t>
  </si>
  <si>
    <t>18_</t>
  </si>
  <si>
    <t>vjezd</t>
  </si>
  <si>
    <t>27</t>
  </si>
  <si>
    <t>Základy</t>
  </si>
  <si>
    <t>6</t>
  </si>
  <si>
    <t>271570010RAA</t>
  </si>
  <si>
    <t>Polštář hutněný pod základy</t>
  </si>
  <si>
    <t>27_</t>
  </si>
  <si>
    <t>2_</t>
  </si>
  <si>
    <t>ze štěrkopísku tloušťky 10 cm</t>
  </si>
  <si>
    <t>7</t>
  </si>
  <si>
    <t>273321321R00</t>
  </si>
  <si>
    <t>Železobeton základových desek C 20/25</t>
  </si>
  <si>
    <t>8</t>
  </si>
  <si>
    <t>273351215RT1</t>
  </si>
  <si>
    <t>Bednění stěn základových desek - zřízení</t>
  </si>
  <si>
    <t>bednicí materiál prkna</t>
  </si>
  <si>
    <t>9</t>
  </si>
  <si>
    <t>273351216R00</t>
  </si>
  <si>
    <t>Bednění stěn základových desek - odstranění</t>
  </si>
  <si>
    <t>10</t>
  </si>
  <si>
    <t>273361921RT9</t>
  </si>
  <si>
    <t>Výztuž základových desek ze svařovaných sítí -2x</t>
  </si>
  <si>
    <t>t</t>
  </si>
  <si>
    <t>KY 80, drát d 8,0 mm, oko 150 x 150 mm</t>
  </si>
  <si>
    <t>11</t>
  </si>
  <si>
    <t>274321321R00</t>
  </si>
  <si>
    <t>Železobeton základových pasů C 20/25</t>
  </si>
  <si>
    <t>12</t>
  </si>
  <si>
    <t>274361821R00</t>
  </si>
  <si>
    <t>Výztuž základových pasů z betonářské oceli  B500B (10 505)-armokoše</t>
  </si>
  <si>
    <t>275313621R00</t>
  </si>
  <si>
    <t>Beton základových patek prostý C 20/25</t>
  </si>
  <si>
    <t>31</t>
  </si>
  <si>
    <t>Zdi podpěrné a volné</t>
  </si>
  <si>
    <t>14</t>
  </si>
  <si>
    <t>311271663RT3</t>
  </si>
  <si>
    <t>Zdivo z bloků vápenopískových Silka tl. 200 mm</t>
  </si>
  <si>
    <t>31_</t>
  </si>
  <si>
    <t>3_</t>
  </si>
  <si>
    <t>tvárnice Silka HM 200 (20-2,0), 248 x 200 x 248 mm</t>
  </si>
  <si>
    <t>15</t>
  </si>
  <si>
    <t>311271176RT1</t>
  </si>
  <si>
    <t>Zdivo z tvárnic Ytong hladkých tl. 250 mm</t>
  </si>
  <si>
    <t>tvárnice Klasik, 599 x 249 x 250 mm</t>
  </si>
  <si>
    <t>16</t>
  </si>
  <si>
    <t>311270044RA0</t>
  </si>
  <si>
    <t>Pilíř z tvárnic Ytong hladkých, tloušťka 25 cm</t>
  </si>
  <si>
    <t>17</t>
  </si>
  <si>
    <t>317141031R00</t>
  </si>
  <si>
    <t>Překlad z profilu UPA Ytong, dl. 3000 mm, š. 250 mm</t>
  </si>
  <si>
    <t>kus</t>
  </si>
  <si>
    <t>34</t>
  </si>
  <si>
    <t>Stěny a příčky</t>
  </si>
  <si>
    <t>342265122RT6</t>
  </si>
  <si>
    <t>Úprava podkroví sádrokarton. na ocel. rošt, šikmá</t>
  </si>
  <si>
    <t>34_</t>
  </si>
  <si>
    <t>desky protipožární tl. 12,5 mm, bez izolace s parozábranou</t>
  </si>
  <si>
    <t>19</t>
  </si>
  <si>
    <t>342265132RT6</t>
  </si>
  <si>
    <t>Úprava podkroví sádrokarton. na ocel. rošt vodor.</t>
  </si>
  <si>
    <t>desky protipožární tl. 12,5 mm, bez izolace</t>
  </si>
  <si>
    <t>20</t>
  </si>
  <si>
    <t>342265193R00</t>
  </si>
  <si>
    <t>Příplatek za otvor v podhledu podkroví pl. 1,00 m2</t>
  </si>
  <si>
    <t>střešní okna</t>
  </si>
  <si>
    <t>21</t>
  </si>
  <si>
    <t>342270044RA0</t>
  </si>
  <si>
    <t>Příčka z desek Ytong hladkých, tloušťka 15 cm</t>
  </si>
  <si>
    <t>41</t>
  </si>
  <si>
    <t>Stropy a stropní konstrukce (pro pozemní stavby)</t>
  </si>
  <si>
    <t>22</t>
  </si>
  <si>
    <t>417320040RAA</t>
  </si>
  <si>
    <t>Ztužující věnec ŽB beton C 25/30, 25 x 20 cm</t>
  </si>
  <si>
    <t>m</t>
  </si>
  <si>
    <t>41_</t>
  </si>
  <si>
    <t>4_</t>
  </si>
  <si>
    <t>bednění, výztuž 90 kg/m3</t>
  </si>
  <si>
    <t>61</t>
  </si>
  <si>
    <t>Úprava povrchů vnitřní</t>
  </si>
  <si>
    <t>23</t>
  </si>
  <si>
    <t>612481211RT8</t>
  </si>
  <si>
    <t>Montáž výztužné sítě(perlinky)do stěrky-vnit.stěny</t>
  </si>
  <si>
    <t>61_</t>
  </si>
  <si>
    <t>6_</t>
  </si>
  <si>
    <t>včetně výztužné sítě a stěrkového tmelu Cemix</t>
  </si>
  <si>
    <t>24</t>
  </si>
  <si>
    <t>602011141RT3</t>
  </si>
  <si>
    <t>Omítka na stěnách štuková vápenná vnitřní Cemix, ručně</t>
  </si>
  <si>
    <t>tloušťka vrstvy 4 mm</t>
  </si>
  <si>
    <t>62</t>
  </si>
  <si>
    <t>Úprava povrchů vnější</t>
  </si>
  <si>
    <t>25</t>
  </si>
  <si>
    <t>622481211RT8</t>
  </si>
  <si>
    <t>Montáž výztužné sítě(perlinky)do stěrky-vněj.stěny</t>
  </si>
  <si>
    <t>62_</t>
  </si>
  <si>
    <t>včetně výztužné sítě a stěrkového tmelu Cemix-sokl</t>
  </si>
  <si>
    <t>26</t>
  </si>
  <si>
    <t>622432111R00</t>
  </si>
  <si>
    <t>Omítka stěn weber-pas marmolit jemnozrnná</t>
  </si>
  <si>
    <t>sokl</t>
  </si>
  <si>
    <t>602021183R00</t>
  </si>
  <si>
    <t>Omítka tenkovrstvá na stěnách silikátová Baumit</t>
  </si>
  <si>
    <t>28</t>
  </si>
  <si>
    <t>602021191R00</t>
  </si>
  <si>
    <t>Podkladní nátěr stěn pod omítky Baumit UniPrimer</t>
  </si>
  <si>
    <t>29</t>
  </si>
  <si>
    <t>620991121R00</t>
  </si>
  <si>
    <t>Zakrývání výplní vnějších otvorů z lešení</t>
  </si>
  <si>
    <t>63</t>
  </si>
  <si>
    <t>Podlahy a podlahové konstrukce</t>
  </si>
  <si>
    <t>30</t>
  </si>
  <si>
    <t>631313611R00</t>
  </si>
  <si>
    <t>Mazanina betonová tl. 8 - 12 cm C 16/20</t>
  </si>
  <si>
    <t>63_</t>
  </si>
  <si>
    <t>P1</t>
  </si>
  <si>
    <t>631319153R00</t>
  </si>
  <si>
    <t>Příplatek za přehlaz. mazanin pod povlaky tl. 12cm</t>
  </si>
  <si>
    <t>32</t>
  </si>
  <si>
    <t>631361921RT5</t>
  </si>
  <si>
    <t>Výztuž mazanin svařovanou sítí</t>
  </si>
  <si>
    <t>KH 20, drát d 6,0 mm, oko 150 x 150 mm</t>
  </si>
  <si>
    <t>93</t>
  </si>
  <si>
    <t>Různé dokončovací konstrukce a práce inženýrských staveb</t>
  </si>
  <si>
    <t>33</t>
  </si>
  <si>
    <t>931961115RR1</t>
  </si>
  <si>
    <t>Vložky do dilatačních spár, polystyren, tl 20 mm</t>
  </si>
  <si>
    <t>93_</t>
  </si>
  <si>
    <t>9_</t>
  </si>
  <si>
    <t>STYRODUR-základy</t>
  </si>
  <si>
    <t>931961115R00</t>
  </si>
  <si>
    <t>Vložky do dilatačních spár, polystyren, tl 50 mm</t>
  </si>
  <si>
    <t>zdivo</t>
  </si>
  <si>
    <t>94</t>
  </si>
  <si>
    <t>Lešení a stavební výtahy</t>
  </si>
  <si>
    <t>35</t>
  </si>
  <si>
    <t>941940031RAB</t>
  </si>
  <si>
    <t>Lešení lehké fasádní, š. 1 m, výška do 10 m</t>
  </si>
  <si>
    <t>94_</t>
  </si>
  <si>
    <t>montáž, demontáž, doprava, pronájem 2 měsíce</t>
  </si>
  <si>
    <t>36</t>
  </si>
  <si>
    <t>941955002R00</t>
  </si>
  <si>
    <t>Lešení lehké pomocné, výška podlahy do 1,9 m</t>
  </si>
  <si>
    <t>95</t>
  </si>
  <si>
    <t>Různé dokončovací konstrukce a práce na pozemních stavbách</t>
  </si>
  <si>
    <t>37</t>
  </si>
  <si>
    <t>952901111R00</t>
  </si>
  <si>
    <t>Vyčištění budov o výšce podlaží do 4 m</t>
  </si>
  <si>
    <t>95_</t>
  </si>
  <si>
    <t>H01</t>
  </si>
  <si>
    <t>Staveništní přesuny hmot</t>
  </si>
  <si>
    <t>38</t>
  </si>
  <si>
    <t>998011001R00</t>
  </si>
  <si>
    <t>Přesun hmot pro budovy zděné výšky do 6 m</t>
  </si>
  <si>
    <t>H01_</t>
  </si>
  <si>
    <t>96</t>
  </si>
  <si>
    <t>Bourání konstrukcí</t>
  </si>
  <si>
    <t>39</t>
  </si>
  <si>
    <t>968072247R00</t>
  </si>
  <si>
    <t>Vybourání kovových rámů oken jednod. nad 4 m2</t>
  </si>
  <si>
    <t>96_</t>
  </si>
  <si>
    <t>40</t>
  </si>
  <si>
    <t>968072559R00</t>
  </si>
  <si>
    <t>Vybourání kovových vrat plochy nad 5 m2</t>
  </si>
  <si>
    <t>764900035RAA</t>
  </si>
  <si>
    <t>Demontáž podokapních žlabů půlkruhových</t>
  </si>
  <si>
    <t>z plechu pozinkovaného</t>
  </si>
  <si>
    <t>42</t>
  </si>
  <si>
    <t>764900040RAA</t>
  </si>
  <si>
    <t>Demontáž odpadních trub</t>
  </si>
  <si>
    <t>43</t>
  </si>
  <si>
    <t>764359820R00</t>
  </si>
  <si>
    <t>Demontáž kotlíku oválného, sklon do 30°</t>
  </si>
  <si>
    <t>44</t>
  </si>
  <si>
    <t>764900010RAA</t>
  </si>
  <si>
    <t>Demontáž krytiny střech</t>
  </si>
  <si>
    <t>45</t>
  </si>
  <si>
    <t>762900030RAB</t>
  </si>
  <si>
    <t>Demontáž dřevěného krovu</t>
  </si>
  <si>
    <t>s bedněním</t>
  </si>
  <si>
    <t>98</t>
  </si>
  <si>
    <t>Demolice</t>
  </si>
  <si>
    <t>46</t>
  </si>
  <si>
    <t>981010020RAA</t>
  </si>
  <si>
    <t>Demolice budov z cihel postupným rozebráním</t>
  </si>
  <si>
    <t>98_</t>
  </si>
  <si>
    <t>podíl konstrukcí do 15 %</t>
  </si>
  <si>
    <t>S</t>
  </si>
  <si>
    <t>Přesuny sutí</t>
  </si>
  <si>
    <t>47</t>
  </si>
  <si>
    <t>979082111R00</t>
  </si>
  <si>
    <t>Vnitrostaveništní doprava suti do 10 m</t>
  </si>
  <si>
    <t>S_</t>
  </si>
  <si>
    <t>48</t>
  </si>
  <si>
    <t>979083117R00</t>
  </si>
  <si>
    <t>Vodorovné přemístění suti na skládku do 6000 m</t>
  </si>
  <si>
    <t>vč.naložení</t>
  </si>
  <si>
    <t>49</t>
  </si>
  <si>
    <t>979083191R00</t>
  </si>
  <si>
    <t>Příplatek za dalších započatých 1000 m nad 6000 m</t>
  </si>
  <si>
    <t>do 15 km</t>
  </si>
  <si>
    <t>50</t>
  </si>
  <si>
    <t>979951161R00</t>
  </si>
  <si>
    <t>Výkup kovů - zinek, plechy</t>
  </si>
  <si>
    <t>51</t>
  </si>
  <si>
    <t>979951111R00</t>
  </si>
  <si>
    <t>Výkup kovů - železný šrot tl. do 4 mm</t>
  </si>
  <si>
    <t>52</t>
  </si>
  <si>
    <t>979990161R00</t>
  </si>
  <si>
    <t>Poplatek za uložení - dřevo, skupina odpadu 170201</t>
  </si>
  <si>
    <t>53</t>
  </si>
  <si>
    <t>979999999R00</t>
  </si>
  <si>
    <t>Poplatek za ukládku suť do 10 % příměsí (skup.170107)</t>
  </si>
  <si>
    <t>711</t>
  </si>
  <si>
    <t>Izolace proti vodě</t>
  </si>
  <si>
    <t>54</t>
  </si>
  <si>
    <t>711111001RZ1</t>
  </si>
  <si>
    <t>Provedení izolace proti vlhkosti na ploše vodorovné, 1x asfaltovým penetračním nátěrem</t>
  </si>
  <si>
    <t>711_</t>
  </si>
  <si>
    <t>71_</t>
  </si>
  <si>
    <t>včetně dodávky asfaltového penetračního laku</t>
  </si>
  <si>
    <t>55</t>
  </si>
  <si>
    <t>711140031RAB</t>
  </si>
  <si>
    <t>Izolace proti vodě vodorovná přitavená, 2x</t>
  </si>
  <si>
    <t>AE,Elastek 40 spec.mineral,Glastek 40 spec.mineral</t>
  </si>
  <si>
    <t>56</t>
  </si>
  <si>
    <t>711112001RZ1</t>
  </si>
  <si>
    <t>Provedení izolace proti vlhkosti na ploše svislé, 1x asfaltovým penetračním nátěr</t>
  </si>
  <si>
    <t>včetně dodávky asfaltového laku</t>
  </si>
  <si>
    <t>57</t>
  </si>
  <si>
    <t>711142559RY1</t>
  </si>
  <si>
    <t>Provedení izolace proti vlhkosti na ploše svislé, asfaltovými pásy přitavením</t>
  </si>
  <si>
    <t>1 vrstva - včetně dod. Elastek 40 special mineral</t>
  </si>
  <si>
    <t>58</t>
  </si>
  <si>
    <t>711142559RY2</t>
  </si>
  <si>
    <t>1 vrstva - včetně dod. Glastek 40 special mineral</t>
  </si>
  <si>
    <t>59</t>
  </si>
  <si>
    <t>998711101R00</t>
  </si>
  <si>
    <t>Přesun hmot pro izolace proti vodě, výšky do 6 m</t>
  </si>
  <si>
    <t>713</t>
  </si>
  <si>
    <t>Izolace tepelné</t>
  </si>
  <si>
    <t>60</t>
  </si>
  <si>
    <t>713111130RV4</t>
  </si>
  <si>
    <t>Montáž tepelné izolace krovů spodem, vložená mezi krokve</t>
  </si>
  <si>
    <t>713_</t>
  </si>
  <si>
    <t>1 vrstva - včetně dodávky plsti Orsik 160 mm</t>
  </si>
  <si>
    <t>713111211RK5</t>
  </si>
  <si>
    <t>Montáž parozábrany, krovů spodem s přelepením spojů</t>
  </si>
  <si>
    <t>Jutafol N 140 standard</t>
  </si>
  <si>
    <t>713100020RAC</t>
  </si>
  <si>
    <t>Izolace tepelné volně položené polystyr. EPS 100 F</t>
  </si>
  <si>
    <t>tloušťka 5 cm</t>
  </si>
  <si>
    <t>713130090RA0</t>
  </si>
  <si>
    <t>Izolace tepelná stěn</t>
  </si>
  <si>
    <t>64</t>
  </si>
  <si>
    <t>28375460</t>
  </si>
  <si>
    <t>Deska izolační XPS univerzální tl.50 mm</t>
  </si>
  <si>
    <t>65</t>
  </si>
  <si>
    <t>998713101R00</t>
  </si>
  <si>
    <t>Přesun hmot pro izolace tepelné, výšky do 6 m</t>
  </si>
  <si>
    <t>762</t>
  </si>
  <si>
    <t>Konstrukce tesařské</t>
  </si>
  <si>
    <t>66</t>
  </si>
  <si>
    <t>762330110RAC</t>
  </si>
  <si>
    <t>Konstrukce krovu z řeziva plochy 120 cm2, impregn.</t>
  </si>
  <si>
    <t>762_</t>
  </si>
  <si>
    <t>76_</t>
  </si>
  <si>
    <t>hranoly 6 x 16 cm, včetně dodávky-kleštiny</t>
  </si>
  <si>
    <t>67</t>
  </si>
  <si>
    <t>762330112RAB</t>
  </si>
  <si>
    <t>Konstrukce krovu z řeziva plochy 224 cm2, impregn.</t>
  </si>
  <si>
    <t>hranoly 10 x 16 cm, včetně dodávky-krokve</t>
  </si>
  <si>
    <t>68</t>
  </si>
  <si>
    <t>762330112RAC</t>
  </si>
  <si>
    <t>hranoly 16 x 12 cm, včetně dodávky-pozednice</t>
  </si>
  <si>
    <t>69</t>
  </si>
  <si>
    <t>762330114RAB</t>
  </si>
  <si>
    <t>Konstrukce krovu z řeziva plochy 288 cm2, impregn.</t>
  </si>
  <si>
    <t>hranoly 16 x 16 cm, včetně dodávky-sloupek</t>
  </si>
  <si>
    <t>70</t>
  </si>
  <si>
    <t>762330116RAC</t>
  </si>
  <si>
    <t>Konstrukce krovu z řeziva plochy 450 cm2, impregn.</t>
  </si>
  <si>
    <t>hranoly 16 x 22 cm, včetně dodávky-vaznice</t>
  </si>
  <si>
    <t>71</t>
  </si>
  <si>
    <t>762340110RAB</t>
  </si>
  <si>
    <t>Bednění střech z prken na sraz, impregnace</t>
  </si>
  <si>
    <t>prkna tloušťky 24 mm, včetně dodávky</t>
  </si>
  <si>
    <t>72</t>
  </si>
  <si>
    <t>762342214RT2</t>
  </si>
  <si>
    <t>Montáž kontralatí přes vláknitou izolaci tl.160 mm</t>
  </si>
  <si>
    <t>včetně dodávky latě 60 x 40 mm</t>
  </si>
  <si>
    <t>73</t>
  </si>
  <si>
    <t>762395000R00</t>
  </si>
  <si>
    <t>Spojovací a ochranné prostředky pro střechy</t>
  </si>
  <si>
    <t>74</t>
  </si>
  <si>
    <t>762512125R00</t>
  </si>
  <si>
    <t>Položení podlahových desek ve dvou vrstvách šroubovaných</t>
  </si>
  <si>
    <t>P2</t>
  </si>
  <si>
    <t>75</t>
  </si>
  <si>
    <t>60726120</t>
  </si>
  <si>
    <t>Deska dřevoštěpková OSB 3, broušená 4PD tl. 15 mm-2x</t>
  </si>
  <si>
    <t>76</t>
  </si>
  <si>
    <t>762822110RT3</t>
  </si>
  <si>
    <t>Montáž stropnic hraněných pl. do 144 cm2</t>
  </si>
  <si>
    <t>včetně dodávky řeziva, hranoly 10/12-P2</t>
  </si>
  <si>
    <t>77</t>
  </si>
  <si>
    <t>762895000R00</t>
  </si>
  <si>
    <t>Spojovací prostředky pro montáž stropů</t>
  </si>
  <si>
    <t>78</t>
  </si>
  <si>
    <t>553438202</t>
  </si>
  <si>
    <t>Žebřík dřevěný dl. 3,0 m</t>
  </si>
  <si>
    <t>79</t>
  </si>
  <si>
    <t>998762102R00</t>
  </si>
  <si>
    <t>Přesun hmot pro tesařské konstrukce, výšky do 12 m</t>
  </si>
  <si>
    <t>764</t>
  </si>
  <si>
    <t>Konstrukce klempířské</t>
  </si>
  <si>
    <t>80</t>
  </si>
  <si>
    <t>764811244RT1</t>
  </si>
  <si>
    <t>Krytina hladká z lak. Pz svitků š.1000 mm, do 30°</t>
  </si>
  <si>
    <t>764_</t>
  </si>
  <si>
    <t>plocha nad 25 m2</t>
  </si>
  <si>
    <t>81</t>
  </si>
  <si>
    <t>764815212R00</t>
  </si>
  <si>
    <t>Žlab podokapní půlkruh.z lak.Pz plechu, rš 330 mm</t>
  </si>
  <si>
    <t>82</t>
  </si>
  <si>
    <t>764815810R00</t>
  </si>
  <si>
    <t>Kotlík žlabový oválný z lak. Pz plechu, 330/100 mm</t>
  </si>
  <si>
    <t>83</t>
  </si>
  <si>
    <t>764819212R00</t>
  </si>
  <si>
    <t>Odpadní trouby kruhové z lak.Pz plechu, D 100 mm</t>
  </si>
  <si>
    <t>84</t>
  </si>
  <si>
    <t>764816125RT2</t>
  </si>
  <si>
    <t>Oplechování parapetů, lakovaný Pz plech, rš 250 mm</t>
  </si>
  <si>
    <t>lepení Enkolitem</t>
  </si>
  <si>
    <t>85</t>
  </si>
  <si>
    <t>998764101R00</t>
  </si>
  <si>
    <t>Přesun hmot pro klempířské konstr., výšky do 6 m</t>
  </si>
  <si>
    <t>765</t>
  </si>
  <si>
    <t>Krytina tvrdá</t>
  </si>
  <si>
    <t>86</t>
  </si>
  <si>
    <t>765901106R00</t>
  </si>
  <si>
    <t>Fólie podstřešní separační</t>
  </si>
  <si>
    <t>765_</t>
  </si>
  <si>
    <t>87</t>
  </si>
  <si>
    <t>765799313RN2</t>
  </si>
  <si>
    <t>Montáž fólie na bednění přibitím, přelepení spojů</t>
  </si>
  <si>
    <t>difúzní pojistná hydroizolace</t>
  </si>
  <si>
    <t>88</t>
  </si>
  <si>
    <t>998765101R00</t>
  </si>
  <si>
    <t>Přesun hmot pro krytiny tvrdé, výšky do 6 m</t>
  </si>
  <si>
    <t>766</t>
  </si>
  <si>
    <t>Konstrukce truhlářské</t>
  </si>
  <si>
    <t>89</t>
  </si>
  <si>
    <t>766624046R00</t>
  </si>
  <si>
    <t>Montáž střešních oken rozměr 66/118 cm</t>
  </si>
  <si>
    <t>766_</t>
  </si>
  <si>
    <t>90</t>
  </si>
  <si>
    <t>611402791</t>
  </si>
  <si>
    <t>Okno střešní VELUX GZL 1051 B FK06 660 x 1180 mm kyvné, dolní ovládání klikou</t>
  </si>
  <si>
    <t>91</t>
  </si>
  <si>
    <t>611403053</t>
  </si>
  <si>
    <t>Sada lemování Velux Energy EDW 2000 FK06, rozměr 660 x 1180 mm</t>
  </si>
  <si>
    <t>92</t>
  </si>
  <si>
    <t>766420010RAA</t>
  </si>
  <si>
    <t>Obklad podhledu palubkami pero-drážka</t>
  </si>
  <si>
    <t>palubky SM/JD, lakování</t>
  </si>
  <si>
    <t>998766101R00</t>
  </si>
  <si>
    <t>Přesun hmot pro truhlářské konstr., výšky do 6 m</t>
  </si>
  <si>
    <t>771</t>
  </si>
  <si>
    <t>Podlahy z dlaždic</t>
  </si>
  <si>
    <t>771445014R00</t>
  </si>
  <si>
    <t>Obklad soklíků hutných, rovných,tmel,v.do 100 mm</t>
  </si>
  <si>
    <t>771_</t>
  </si>
  <si>
    <t>77_</t>
  </si>
  <si>
    <t>771570014RAI</t>
  </si>
  <si>
    <t>Dlažba z dlaždic keramických 30 x 30 cm</t>
  </si>
  <si>
    <t>do tmele, dlažba ve specifikaci</t>
  </si>
  <si>
    <t>597623142</t>
  </si>
  <si>
    <t>Dlaždice keramické 300 x 300 mm - dle výběru</t>
  </si>
  <si>
    <t>97</t>
  </si>
  <si>
    <t>771479001R00</t>
  </si>
  <si>
    <t>Řezání dlaždic keramických pro soklíky</t>
  </si>
  <si>
    <t>771579793R00</t>
  </si>
  <si>
    <t>Příplatek za spárovací hmotu - plošně,keram.dlažba</t>
  </si>
  <si>
    <t>99</t>
  </si>
  <si>
    <t>771101210RT1</t>
  </si>
  <si>
    <t>Penetrace podkladu pod dlažby</t>
  </si>
  <si>
    <t>penetrační nátěr Primer G</t>
  </si>
  <si>
    <t>100</t>
  </si>
  <si>
    <t>998771101R00</t>
  </si>
  <si>
    <t>Přesun hmot pro podlahy z dlaždic, výšky do 6 m</t>
  </si>
  <si>
    <t>784</t>
  </si>
  <si>
    <t>Malby</t>
  </si>
  <si>
    <t>101</t>
  </si>
  <si>
    <t>784191101R00</t>
  </si>
  <si>
    <t>Penetrace podkladu univerzální Primalex 1x</t>
  </si>
  <si>
    <t>784_</t>
  </si>
  <si>
    <t>78_</t>
  </si>
  <si>
    <t>102</t>
  </si>
  <si>
    <t>784195212R00</t>
  </si>
  <si>
    <t>Malba Primalex Plus, bílá, bez penetrace, 2 x</t>
  </si>
  <si>
    <t>103</t>
  </si>
  <si>
    <t>784195112R00</t>
  </si>
  <si>
    <t>Malba Primalex Standard, bílá, bez penetrace, 2 x</t>
  </si>
  <si>
    <t>Hodinové zúčtovací sazby (HZS)</t>
  </si>
  <si>
    <t>104</t>
  </si>
  <si>
    <t>900      R00</t>
  </si>
  <si>
    <t>HZS - ostatní práce v rozpočtu nespecifikované</t>
  </si>
  <si>
    <t>h</t>
  </si>
  <si>
    <t>90_</t>
  </si>
  <si>
    <t>M21001</t>
  </si>
  <si>
    <t>Elektroinstalace</t>
  </si>
  <si>
    <t>105</t>
  </si>
  <si>
    <t>21022009VD</t>
  </si>
  <si>
    <t>Elektroinstalace - cena předběžná</t>
  </si>
  <si>
    <t>kpl</t>
  </si>
  <si>
    <t>M21001_</t>
  </si>
  <si>
    <t>Dodávka+montáž</t>
  </si>
  <si>
    <t>Celkem:</t>
  </si>
  <si>
    <t>Poznámka:</t>
  </si>
  <si>
    <t>Slepý stavební rozpočet - rekapitulace</t>
  </si>
  <si>
    <t>Objekt</t>
  </si>
  <si>
    <t>Zkrácený popis</t>
  </si>
  <si>
    <t>Náklady (Kč) - dodávka</t>
  </si>
  <si>
    <t>Náklady (Kč) - Montáž</t>
  </si>
  <si>
    <t>Náklady (Kč) - celkem</t>
  </si>
  <si>
    <t>T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</si>
  <si>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</si>
  <si>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</si>
  <si>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</si>
  <si>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</si>
  <si>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</si>
  <si>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</si>
  <si>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</si>
  <si>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</si>
  <si>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</si>
  <si>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</si>
  <si>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</si>
  <si>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</si>
  <si>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</si>
  <si>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</si>
  <si>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</si>
  <si>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</si>
  <si>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</si>
  <si>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</si>
  <si>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</si>
  <si>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</si>
  <si>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</si>
  <si>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</si>
  <si>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</si>
  <si>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</si>
  <si>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</si>
  <si>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</si>
  <si>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</si>
  <si>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</si>
  <si>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</si>
  <si>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</si>
  <si>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</si>
  <si>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</si>
  <si>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</si>
  <si>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</si>
  <si>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</si>
  <si>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</si>
  <si>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</si>
  <si>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</si>
  <si>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</si>
  <si>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</si>
  <si>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</si>
  <si>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</si>
  <si>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</si>
  <si>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</si>
  <si>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</si>
  <si>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</si>
  <si>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</si>
  <si>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</si>
  <si>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</si>
  <si>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</si>
  <si>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</si>
  <si>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</si>
  <si>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</si>
  <si>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</si>
  <si>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</si>
  <si>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</si>
  <si>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Stevbní úpravy a změna užívání doplňkové stavby garáží (skladů)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</si>
</sst>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2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4" fontId="2" fillId="2" borderId="29" xfId="0" applyNumberFormat="1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0" fontId="0" fillId="0" borderId="31" xfId="0" applyBorder="1"/>
    <xf numFmtId="0" fontId="4" fillId="0" borderId="32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9" fillId="0" borderId="45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4" fontId="10" fillId="0" borderId="46" xfId="0" applyNumberFormat="1" applyFont="1" applyBorder="1" applyAlignment="1">
      <alignment horizontal="right" vertical="center"/>
    </xf>
    <xf numFmtId="0" fontId="10" fillId="0" borderId="46" xfId="0" applyFont="1" applyBorder="1" applyAlignment="1">
      <alignment horizontal="right" vertical="center"/>
    </xf>
    <xf numFmtId="0" fontId="9" fillId="0" borderId="49" xfId="0" applyFont="1" applyBorder="1" applyAlignment="1">
      <alignment horizontal="left" vertical="center"/>
    </xf>
    <xf numFmtId="4" fontId="10" fillId="0" borderId="53" xfId="0" applyNumberFormat="1" applyFont="1" applyBorder="1" applyAlignment="1">
      <alignment horizontal="right" vertical="center"/>
    </xf>
    <xf numFmtId="0" fontId="10" fillId="0" borderId="53" xfId="0" applyFont="1" applyBorder="1" applyAlignment="1">
      <alignment horizontal="right" vertical="center"/>
    </xf>
    <xf numFmtId="4" fontId="10" fillId="0" borderId="44" xfId="0" applyNumberFormat="1" applyFont="1" applyBorder="1" applyAlignment="1">
      <alignment horizontal="right" vertical="center"/>
    </xf>
    <xf numFmtId="4" fontId="10" fillId="0" borderId="25" xfId="0" applyNumberFormat="1" applyFont="1" applyBorder="1" applyAlignment="1">
      <alignment horizontal="right" vertical="center"/>
    </xf>
    <xf numFmtId="4" fontId="9" fillId="2" borderId="43" xfId="0" applyNumberFormat="1" applyFont="1" applyFill="1" applyBorder="1" applyAlignment="1">
      <alignment horizontal="right" vertical="center"/>
    </xf>
    <xf numFmtId="4" fontId="9" fillId="2" borderId="48" xfId="0" applyNumberFormat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2" fillId="0" borderId="69" xfId="0" applyFont="1" applyBorder="1" applyAlignment="1">
      <alignment horizontal="right" vertical="center"/>
    </xf>
    <xf numFmtId="4" fontId="3" fillId="0" borderId="46" xfId="0" applyNumberFormat="1" applyFont="1" applyBorder="1" applyAlignment="1">
      <alignment horizontal="right" vertical="center"/>
    </xf>
    <xf numFmtId="0" fontId="3" fillId="0" borderId="46" xfId="0" applyFont="1" applyBorder="1" applyAlignment="1">
      <alignment horizontal="left" vertical="center"/>
    </xf>
    <xf numFmtId="4" fontId="3" fillId="0" borderId="73" xfId="0" applyNumberFormat="1" applyFont="1" applyBorder="1" applyAlignment="1">
      <alignment horizontal="right" vertical="center"/>
    </xf>
    <xf numFmtId="0" fontId="3" fillId="0" borderId="73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2" fillId="0" borderId="77" xfId="0" applyFont="1" applyBorder="1" applyAlignment="1">
      <alignment horizontal="right" vertical="center"/>
    </xf>
    <xf numFmtId="4" fontId="2" fillId="0" borderId="77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65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2" borderId="55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9" fillId="2" borderId="57" xfId="0" applyFont="1" applyFill="1" applyBorder="1" applyAlignment="1">
      <alignment horizontal="left" vertical="center"/>
    </xf>
    <xf numFmtId="0" fontId="9" fillId="2" borderId="42" xfId="0" applyFont="1" applyFill="1" applyBorder="1" applyAlignment="1">
      <alignment horizontal="left" vertical="center"/>
    </xf>
    <xf numFmtId="0" fontId="9" fillId="2" borderId="47" xfId="0" applyFont="1" applyFill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52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6" fillId="0" borderId="40" xfId="0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left" vertical="center"/>
    </xf>
    <xf numFmtId="0" fontId="2" fillId="0" borderId="74" xfId="0" applyFont="1" applyBorder="1" applyAlignment="1">
      <alignment horizontal="left" vertical="center"/>
    </xf>
    <xf numFmtId="0" fontId="2" fillId="0" borderId="75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9" fillId="0" borderId="74" xfId="0" applyFont="1" applyBorder="1" applyAlignment="1">
      <alignment horizontal="left" vertical="center"/>
    </xf>
    <xf numFmtId="0" fontId="9" fillId="0" borderId="75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4" fontId="9" fillId="0" borderId="78" xfId="0" applyNumberFormat="1" applyFont="1" applyBorder="1" applyAlignment="1">
      <alignment horizontal="right" vertical="center"/>
    </xf>
    <xf numFmtId="0" fontId="9" fillId="0" borderId="75" xfId="0" applyFont="1" applyBorder="1" applyAlignment="1">
      <alignment horizontal="right" vertical="center"/>
    </xf>
    <xf numFmtId="0" fontId="9" fillId="0" borderId="76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70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96"/>
  <sheetViews>
    <sheetView tabSelected="1" workbookViewId="0">
      <pane ySplit="11" topLeftCell="A12" activePane="bottomLeft" state="frozen"/>
      <selection pane="bottomLeft" activeCell="C6" sqref="C6:D7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4.285156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96" t="s">
        <v>1</v>
      </c>
      <c r="B2" s="88"/>
      <c r="C2" s="100" t="s">
        <v>560</v>
      </c>
      <c r="D2" s="101"/>
      <c r="E2" s="88" t="s">
        <v>2</v>
      </c>
      <c r="F2" s="88"/>
      <c r="G2" s="88" t="s">
        <v>3</v>
      </c>
      <c r="H2" s="87" t="s">
        <v>4</v>
      </c>
      <c r="I2" s="87" t="s">
        <v>5</v>
      </c>
      <c r="J2" s="88"/>
      <c r="K2" s="89"/>
    </row>
    <row r="3" spans="1:76" x14ac:dyDescent="0.25">
      <c r="A3" s="97"/>
      <c r="B3" s="70"/>
      <c r="C3" s="102"/>
      <c r="D3" s="102"/>
      <c r="E3" s="70"/>
      <c r="F3" s="70"/>
      <c r="G3" s="70"/>
      <c r="H3" s="70"/>
      <c r="I3" s="70"/>
      <c r="J3" s="70"/>
      <c r="K3" s="90"/>
    </row>
    <row r="4" spans="1:76" x14ac:dyDescent="0.25">
      <c r="A4" s="98" t="s">
        <v>6</v>
      </c>
      <c r="B4" s="70"/>
      <c r="C4" s="69" t="s">
        <v>3</v>
      </c>
      <c r="D4" s="70"/>
      <c r="E4" s="70" t="s">
        <v>7</v>
      </c>
      <c r="F4" s="70"/>
      <c r="G4" s="70" t="s">
        <v>3</v>
      </c>
      <c r="H4" s="69" t="s">
        <v>8</v>
      </c>
      <c r="I4" s="69" t="s">
        <v>9</v>
      </c>
      <c r="J4" s="70"/>
      <c r="K4" s="90"/>
    </row>
    <row r="5" spans="1:76" x14ac:dyDescent="0.25">
      <c r="A5" s="97"/>
      <c r="B5" s="70"/>
      <c r="C5" s="70"/>
      <c r="D5" s="70"/>
      <c r="E5" s="70"/>
      <c r="F5" s="70"/>
      <c r="G5" s="70"/>
      <c r="H5" s="70"/>
      <c r="I5" s="70"/>
      <c r="J5" s="70"/>
      <c r="K5" s="90"/>
    </row>
    <row r="6" spans="1:76" x14ac:dyDescent="0.25">
      <c r="A6" s="98" t="s">
        <v>10</v>
      </c>
      <c r="B6" s="70"/>
      <c r="C6" s="69" t="s">
        <v>11</v>
      </c>
      <c r="D6" s="70"/>
      <c r="E6" s="70" t="s">
        <v>12</v>
      </c>
      <c r="F6" s="70"/>
      <c r="G6" s="70" t="s">
        <v>3</v>
      </c>
      <c r="H6" s="69" t="s">
        <v>13</v>
      </c>
      <c r="I6" s="69" t="s">
        <v>14</v>
      </c>
      <c r="J6" s="70"/>
      <c r="K6" s="90"/>
    </row>
    <row r="7" spans="1:76" x14ac:dyDescent="0.25">
      <c r="A7" s="97"/>
      <c r="B7" s="70"/>
      <c r="C7" s="70"/>
      <c r="D7" s="70"/>
      <c r="E7" s="70"/>
      <c r="F7" s="70"/>
      <c r="G7" s="70"/>
      <c r="H7" s="70"/>
      <c r="I7" s="70"/>
      <c r="J7" s="70"/>
      <c r="K7" s="90"/>
    </row>
    <row r="8" spans="1:76" x14ac:dyDescent="0.25">
      <c r="A8" s="98" t="s">
        <v>15</v>
      </c>
      <c r="B8" s="70"/>
      <c r="C8" s="69" t="s">
        <v>3</v>
      </c>
      <c r="D8" s="70"/>
      <c r="E8" s="70" t="s">
        <v>16</v>
      </c>
      <c r="F8" s="70"/>
      <c r="G8" s="70" t="s">
        <v>17</v>
      </c>
      <c r="H8" s="69" t="s">
        <v>18</v>
      </c>
      <c r="I8" s="70" t="s">
        <v>19</v>
      </c>
      <c r="J8" s="70"/>
      <c r="K8" s="90"/>
    </row>
    <row r="9" spans="1:76" x14ac:dyDescent="0.25">
      <c r="A9" s="99"/>
      <c r="B9" s="91"/>
      <c r="C9" s="91"/>
      <c r="D9" s="91"/>
      <c r="E9" s="91"/>
      <c r="F9" s="91"/>
      <c r="G9" s="91"/>
      <c r="H9" s="91"/>
      <c r="I9" s="91"/>
      <c r="J9" s="91"/>
      <c r="K9" s="92"/>
    </row>
    <row r="10" spans="1:76" x14ac:dyDescent="0.25">
      <c r="A10" s="6" t="s">
        <v>20</v>
      </c>
      <c r="B10" s="7" t="s">
        <v>21</v>
      </c>
      <c r="C10" s="93" t="s">
        <v>22</v>
      </c>
      <c r="D10" s="94"/>
      <c r="E10" s="7" t="s">
        <v>23</v>
      </c>
      <c r="F10" s="8" t="s">
        <v>24</v>
      </c>
      <c r="G10" s="9" t="s">
        <v>25</v>
      </c>
      <c r="H10" s="82" t="s">
        <v>26</v>
      </c>
      <c r="I10" s="83"/>
      <c r="J10" s="84"/>
      <c r="K10" s="10" t="s">
        <v>27</v>
      </c>
      <c r="BK10" s="11" t="s">
        <v>28</v>
      </c>
      <c r="BL10" s="12" t="s">
        <v>29</v>
      </c>
      <c r="BW10" s="12" t="s">
        <v>30</v>
      </c>
    </row>
    <row r="11" spans="1:76" x14ac:dyDescent="0.25">
      <c r="A11" s="13" t="s">
        <v>3</v>
      </c>
      <c r="B11" s="14" t="s">
        <v>3</v>
      </c>
      <c r="C11" s="80" t="s">
        <v>31</v>
      </c>
      <c r="D11" s="81"/>
      <c r="E11" s="14" t="s">
        <v>3</v>
      </c>
      <c r="F11" s="14" t="s">
        <v>3</v>
      </c>
      <c r="G11" s="15" t="s">
        <v>32</v>
      </c>
      <c r="H11" s="16" t="s">
        <v>33</v>
      </c>
      <c r="I11" s="17" t="s">
        <v>34</v>
      </c>
      <c r="J11" s="18" t="s">
        <v>35</v>
      </c>
      <c r="K11" s="19" t="s">
        <v>36</v>
      </c>
      <c r="Z11" s="11" t="s">
        <v>37</v>
      </c>
      <c r="AA11" s="11" t="s">
        <v>38</v>
      </c>
      <c r="AB11" s="11" t="s">
        <v>39</v>
      </c>
      <c r="AC11" s="11" t="s">
        <v>40</v>
      </c>
      <c r="AD11" s="11" t="s">
        <v>41</v>
      </c>
      <c r="AE11" s="11" t="s">
        <v>42</v>
      </c>
      <c r="AF11" s="11" t="s">
        <v>43</v>
      </c>
      <c r="AG11" s="11" t="s">
        <v>44</v>
      </c>
      <c r="AH11" s="11" t="s">
        <v>45</v>
      </c>
      <c r="BH11" s="11" t="s">
        <v>46</v>
      </c>
      <c r="BI11" s="11" t="s">
        <v>47</v>
      </c>
      <c r="BJ11" s="11" t="s">
        <v>48</v>
      </c>
    </row>
    <row r="12" spans="1:76" x14ac:dyDescent="0.25">
      <c r="A12" s="20" t="s">
        <v>49</v>
      </c>
      <c r="B12" s="21" t="s">
        <v>50</v>
      </c>
      <c r="C12" s="85" t="s">
        <v>51</v>
      </c>
      <c r="D12" s="86"/>
      <c r="E12" s="22" t="s">
        <v>3</v>
      </c>
      <c r="F12" s="22" t="s">
        <v>3</v>
      </c>
      <c r="G12" s="22" t="s">
        <v>3</v>
      </c>
      <c r="H12" s="23">
        <f>SUM(H13:H17)</f>
        <v>0</v>
      </c>
      <c r="I12" s="23">
        <f>SUM(I13:I17)</f>
        <v>0</v>
      </c>
      <c r="J12" s="23">
        <f>SUM(J13:J17)</f>
        <v>0</v>
      </c>
      <c r="K12" s="24" t="s">
        <v>49</v>
      </c>
      <c r="AI12" s="11" t="s">
        <v>49</v>
      </c>
      <c r="AS12" s="1">
        <f>SUM(AJ13:AJ17)</f>
        <v>0</v>
      </c>
      <c r="AT12" s="1">
        <f>SUM(AK13:AK17)</f>
        <v>0</v>
      </c>
      <c r="AU12" s="1">
        <f>SUM(AL13:AL17)</f>
        <v>0</v>
      </c>
    </row>
    <row r="13" spans="1:76" x14ac:dyDescent="0.25">
      <c r="A13" s="2" t="s">
        <v>52</v>
      </c>
      <c r="B13" s="3" t="s">
        <v>53</v>
      </c>
      <c r="C13" s="69" t="s">
        <v>54</v>
      </c>
      <c r="D13" s="70"/>
      <c r="E13" s="3" t="s">
        <v>55</v>
      </c>
      <c r="F13" s="25">
        <v>13.487</v>
      </c>
      <c r="G13" s="25">
        <v>0</v>
      </c>
      <c r="H13" s="25">
        <f>F13*AO13</f>
        <v>0</v>
      </c>
      <c r="I13" s="25">
        <f>F13*AP13</f>
        <v>0</v>
      </c>
      <c r="J13" s="25">
        <f>F13*G13</f>
        <v>0</v>
      </c>
      <c r="K13" s="26" t="s">
        <v>56</v>
      </c>
      <c r="Z13" s="25">
        <f>IF(AQ13="5",BJ13,0)</f>
        <v>0</v>
      </c>
      <c r="AB13" s="25">
        <f>IF(AQ13="1",BH13,0)</f>
        <v>0</v>
      </c>
      <c r="AC13" s="25">
        <f>IF(AQ13="1",BI13,0)</f>
        <v>0</v>
      </c>
      <c r="AD13" s="25">
        <f>IF(AQ13="7",BH13,0)</f>
        <v>0</v>
      </c>
      <c r="AE13" s="25">
        <f>IF(AQ13="7",BI13,0)</f>
        <v>0</v>
      </c>
      <c r="AF13" s="25">
        <f>IF(AQ13="2",BH13,0)</f>
        <v>0</v>
      </c>
      <c r="AG13" s="25">
        <f>IF(AQ13="2",BI13,0)</f>
        <v>0</v>
      </c>
      <c r="AH13" s="25">
        <f>IF(AQ13="0",BJ13,0)</f>
        <v>0</v>
      </c>
      <c r="AI13" s="11" t="s">
        <v>49</v>
      </c>
      <c r="AJ13" s="25">
        <f>IF(AN13=0,J13,0)</f>
        <v>0</v>
      </c>
      <c r="AK13" s="25">
        <f>IF(AN13=12,J13,0)</f>
        <v>0</v>
      </c>
      <c r="AL13" s="25">
        <f>IF(AN13=21,J13,0)</f>
        <v>0</v>
      </c>
      <c r="AN13" s="25">
        <v>21</v>
      </c>
      <c r="AO13" s="25">
        <f>G13*0</f>
        <v>0</v>
      </c>
      <c r="AP13" s="25">
        <f>G13*(1-0)</f>
        <v>0</v>
      </c>
      <c r="AQ13" s="27" t="s">
        <v>52</v>
      </c>
      <c r="AV13" s="25">
        <f>AW13+AX13</f>
        <v>0</v>
      </c>
      <c r="AW13" s="25">
        <f>F13*AO13</f>
        <v>0</v>
      </c>
      <c r="AX13" s="25">
        <f>F13*AP13</f>
        <v>0</v>
      </c>
      <c r="AY13" s="27" t="s">
        <v>57</v>
      </c>
      <c r="AZ13" s="27" t="s">
        <v>58</v>
      </c>
      <c r="BA13" s="11" t="s">
        <v>59</v>
      </c>
      <c r="BC13" s="25">
        <f>AW13+AX13</f>
        <v>0</v>
      </c>
      <c r="BD13" s="25">
        <f>G13/(100-BE13)*100</f>
        <v>0</v>
      </c>
      <c r="BE13" s="25">
        <v>0</v>
      </c>
      <c r="BF13" s="25">
        <f>13</f>
        <v>13</v>
      </c>
      <c r="BH13" s="25">
        <f>F13*AO13</f>
        <v>0</v>
      </c>
      <c r="BI13" s="25">
        <f>F13*AP13</f>
        <v>0</v>
      </c>
      <c r="BJ13" s="25">
        <f>F13*G13</f>
        <v>0</v>
      </c>
      <c r="BK13" s="25"/>
      <c r="BL13" s="25">
        <v>13</v>
      </c>
      <c r="BW13" s="25">
        <v>21</v>
      </c>
      <c r="BX13" s="5" t="s">
        <v>54</v>
      </c>
    </row>
    <row r="14" spans="1:76" ht="13.5" customHeight="1" x14ac:dyDescent="0.25">
      <c r="A14" s="28"/>
      <c r="B14" s="29" t="s">
        <v>60</v>
      </c>
      <c r="C14" s="77" t="s">
        <v>61</v>
      </c>
      <c r="D14" s="78"/>
      <c r="E14" s="78"/>
      <c r="F14" s="78"/>
      <c r="G14" s="78"/>
      <c r="H14" s="78"/>
      <c r="I14" s="78"/>
      <c r="J14" s="78"/>
      <c r="K14" s="79"/>
    </row>
    <row r="15" spans="1:76" x14ac:dyDescent="0.25">
      <c r="A15" s="2" t="s">
        <v>62</v>
      </c>
      <c r="B15" s="3" t="s">
        <v>63</v>
      </c>
      <c r="C15" s="69" t="s">
        <v>64</v>
      </c>
      <c r="D15" s="70"/>
      <c r="E15" s="3" t="s">
        <v>55</v>
      </c>
      <c r="F15" s="25">
        <v>0.39600000000000002</v>
      </c>
      <c r="G15" s="25">
        <v>0</v>
      </c>
      <c r="H15" s="25">
        <f>F15*AO15</f>
        <v>0</v>
      </c>
      <c r="I15" s="25">
        <f>F15*AP15</f>
        <v>0</v>
      </c>
      <c r="J15" s="25">
        <f>F15*G15</f>
        <v>0</v>
      </c>
      <c r="K15" s="26" t="s">
        <v>56</v>
      </c>
      <c r="Z15" s="25">
        <f>IF(AQ15="5",BJ15,0)</f>
        <v>0</v>
      </c>
      <c r="AB15" s="25">
        <f>IF(AQ15="1",BH15,0)</f>
        <v>0</v>
      </c>
      <c r="AC15" s="25">
        <f>IF(AQ15="1",BI15,0)</f>
        <v>0</v>
      </c>
      <c r="AD15" s="25">
        <f>IF(AQ15="7",BH15,0)</f>
        <v>0</v>
      </c>
      <c r="AE15" s="25">
        <f>IF(AQ15="7",BI15,0)</f>
        <v>0</v>
      </c>
      <c r="AF15" s="25">
        <f>IF(AQ15="2",BH15,0)</f>
        <v>0</v>
      </c>
      <c r="AG15" s="25">
        <f>IF(AQ15="2",BI15,0)</f>
        <v>0</v>
      </c>
      <c r="AH15" s="25">
        <f>IF(AQ15="0",BJ15,0)</f>
        <v>0</v>
      </c>
      <c r="AI15" s="11" t="s">
        <v>49</v>
      </c>
      <c r="AJ15" s="25">
        <f>IF(AN15=0,J15,0)</f>
        <v>0</v>
      </c>
      <c r="AK15" s="25">
        <f>IF(AN15=12,J15,0)</f>
        <v>0</v>
      </c>
      <c r="AL15" s="25">
        <f>IF(AN15=21,J15,0)</f>
        <v>0</v>
      </c>
      <c r="AN15" s="25">
        <v>21</v>
      </c>
      <c r="AO15" s="25">
        <f>G15*0</f>
        <v>0</v>
      </c>
      <c r="AP15" s="25">
        <f>G15*(1-0)</f>
        <v>0</v>
      </c>
      <c r="AQ15" s="27" t="s">
        <v>52</v>
      </c>
      <c r="AV15" s="25">
        <f>AW15+AX15</f>
        <v>0</v>
      </c>
      <c r="AW15" s="25">
        <f>F15*AO15</f>
        <v>0</v>
      </c>
      <c r="AX15" s="25">
        <f>F15*AP15</f>
        <v>0</v>
      </c>
      <c r="AY15" s="27" t="s">
        <v>57</v>
      </c>
      <c r="AZ15" s="27" t="s">
        <v>58</v>
      </c>
      <c r="BA15" s="11" t="s">
        <v>59</v>
      </c>
      <c r="BC15" s="25">
        <f>AW15+AX15</f>
        <v>0</v>
      </c>
      <c r="BD15" s="25">
        <f>G15/(100-BE15)*100</f>
        <v>0</v>
      </c>
      <c r="BE15" s="25">
        <v>0</v>
      </c>
      <c r="BF15" s="25">
        <f>15</f>
        <v>15</v>
      </c>
      <c r="BH15" s="25">
        <f>F15*AO15</f>
        <v>0</v>
      </c>
      <c r="BI15" s="25">
        <f>F15*AP15</f>
        <v>0</v>
      </c>
      <c r="BJ15" s="25">
        <f>F15*G15</f>
        <v>0</v>
      </c>
      <c r="BK15" s="25"/>
      <c r="BL15" s="25">
        <v>13</v>
      </c>
      <c r="BW15" s="25">
        <v>21</v>
      </c>
      <c r="BX15" s="5" t="s">
        <v>64</v>
      </c>
    </row>
    <row r="16" spans="1:76" x14ac:dyDescent="0.25">
      <c r="A16" s="2" t="s">
        <v>65</v>
      </c>
      <c r="B16" s="3" t="s">
        <v>66</v>
      </c>
      <c r="C16" s="69" t="s">
        <v>67</v>
      </c>
      <c r="D16" s="70"/>
      <c r="E16" s="3" t="s">
        <v>55</v>
      </c>
      <c r="F16" s="25">
        <v>0.39600000000000002</v>
      </c>
      <c r="G16" s="25">
        <v>0</v>
      </c>
      <c r="H16" s="25">
        <f>F16*AO16</f>
        <v>0</v>
      </c>
      <c r="I16" s="25">
        <f>F16*AP16</f>
        <v>0</v>
      </c>
      <c r="J16" s="25">
        <f>F16*G16</f>
        <v>0</v>
      </c>
      <c r="K16" s="26" t="s">
        <v>56</v>
      </c>
      <c r="Z16" s="25">
        <f>IF(AQ16="5",BJ16,0)</f>
        <v>0</v>
      </c>
      <c r="AB16" s="25">
        <f>IF(AQ16="1",BH16,0)</f>
        <v>0</v>
      </c>
      <c r="AC16" s="25">
        <f>IF(AQ16="1",BI16,0)</f>
        <v>0</v>
      </c>
      <c r="AD16" s="25">
        <f>IF(AQ16="7",BH16,0)</f>
        <v>0</v>
      </c>
      <c r="AE16" s="25">
        <f>IF(AQ16="7",BI16,0)</f>
        <v>0</v>
      </c>
      <c r="AF16" s="25">
        <f>IF(AQ16="2",BH16,0)</f>
        <v>0</v>
      </c>
      <c r="AG16" s="25">
        <f>IF(AQ16="2",BI16,0)</f>
        <v>0</v>
      </c>
      <c r="AH16" s="25">
        <f>IF(AQ16="0",BJ16,0)</f>
        <v>0</v>
      </c>
      <c r="AI16" s="11" t="s">
        <v>49</v>
      </c>
      <c r="AJ16" s="25">
        <f>IF(AN16=0,J16,0)</f>
        <v>0</v>
      </c>
      <c r="AK16" s="25">
        <f>IF(AN16=12,J16,0)</f>
        <v>0</v>
      </c>
      <c r="AL16" s="25">
        <f>IF(AN16=21,J16,0)</f>
        <v>0</v>
      </c>
      <c r="AN16" s="25">
        <v>21</v>
      </c>
      <c r="AO16" s="25">
        <f>G16*0</f>
        <v>0</v>
      </c>
      <c r="AP16" s="25">
        <f>G16*(1-0)</f>
        <v>0</v>
      </c>
      <c r="AQ16" s="27" t="s">
        <v>52</v>
      </c>
      <c r="AV16" s="25">
        <f>AW16+AX16</f>
        <v>0</v>
      </c>
      <c r="AW16" s="25">
        <f>F16*AO16</f>
        <v>0</v>
      </c>
      <c r="AX16" s="25">
        <f>F16*AP16</f>
        <v>0</v>
      </c>
      <c r="AY16" s="27" t="s">
        <v>57</v>
      </c>
      <c r="AZ16" s="27" t="s">
        <v>58</v>
      </c>
      <c r="BA16" s="11" t="s">
        <v>59</v>
      </c>
      <c r="BC16" s="25">
        <f>AW16+AX16</f>
        <v>0</v>
      </c>
      <c r="BD16" s="25">
        <f>G16/(100-BE16)*100</f>
        <v>0</v>
      </c>
      <c r="BE16" s="25">
        <v>0</v>
      </c>
      <c r="BF16" s="25">
        <f>16</f>
        <v>16</v>
      </c>
      <c r="BH16" s="25">
        <f>F16*AO16</f>
        <v>0</v>
      </c>
      <c r="BI16" s="25">
        <f>F16*AP16</f>
        <v>0</v>
      </c>
      <c r="BJ16" s="25">
        <f>F16*G16</f>
        <v>0</v>
      </c>
      <c r="BK16" s="25"/>
      <c r="BL16" s="25">
        <v>13</v>
      </c>
      <c r="BW16" s="25">
        <v>21</v>
      </c>
      <c r="BX16" s="5" t="s">
        <v>67</v>
      </c>
    </row>
    <row r="17" spans="1:76" x14ac:dyDescent="0.25">
      <c r="A17" s="2" t="s">
        <v>68</v>
      </c>
      <c r="B17" s="3" t="s">
        <v>69</v>
      </c>
      <c r="C17" s="69" t="s">
        <v>70</v>
      </c>
      <c r="D17" s="70"/>
      <c r="E17" s="3" t="s">
        <v>55</v>
      </c>
      <c r="F17" s="25">
        <v>56.08</v>
      </c>
      <c r="G17" s="25">
        <v>0</v>
      </c>
      <c r="H17" s="25">
        <f>F17*AO17</f>
        <v>0</v>
      </c>
      <c r="I17" s="25">
        <f>F17*AP17</f>
        <v>0</v>
      </c>
      <c r="J17" s="25">
        <f>F17*G17</f>
        <v>0</v>
      </c>
      <c r="K17" s="26" t="s">
        <v>56</v>
      </c>
      <c r="Z17" s="25">
        <f>IF(AQ17="5",BJ17,0)</f>
        <v>0</v>
      </c>
      <c r="AB17" s="25">
        <f>IF(AQ17="1",BH17,0)</f>
        <v>0</v>
      </c>
      <c r="AC17" s="25">
        <f>IF(AQ17="1",BI17,0)</f>
        <v>0</v>
      </c>
      <c r="AD17" s="25">
        <f>IF(AQ17="7",BH17,0)</f>
        <v>0</v>
      </c>
      <c r="AE17" s="25">
        <f>IF(AQ17="7",BI17,0)</f>
        <v>0</v>
      </c>
      <c r="AF17" s="25">
        <f>IF(AQ17="2",BH17,0)</f>
        <v>0</v>
      </c>
      <c r="AG17" s="25">
        <f>IF(AQ17="2",BI17,0)</f>
        <v>0</v>
      </c>
      <c r="AH17" s="25">
        <f>IF(AQ17="0",BJ17,0)</f>
        <v>0</v>
      </c>
      <c r="AI17" s="11" t="s">
        <v>49</v>
      </c>
      <c r="AJ17" s="25">
        <f>IF(AN17=0,J17,0)</f>
        <v>0</v>
      </c>
      <c r="AK17" s="25">
        <f>IF(AN17=12,J17,0)</f>
        <v>0</v>
      </c>
      <c r="AL17" s="25">
        <f>IF(AN17=21,J17,0)</f>
        <v>0</v>
      </c>
      <c r="AN17" s="25">
        <v>21</v>
      </c>
      <c r="AO17" s="25">
        <f>G17*0</f>
        <v>0</v>
      </c>
      <c r="AP17" s="25">
        <f>G17*(1-0)</f>
        <v>0</v>
      </c>
      <c r="AQ17" s="27" t="s">
        <v>52</v>
      </c>
      <c r="AV17" s="25">
        <f>AW17+AX17</f>
        <v>0</v>
      </c>
      <c r="AW17" s="25">
        <f>F17*AO17</f>
        <v>0</v>
      </c>
      <c r="AX17" s="25">
        <f>F17*AP17</f>
        <v>0</v>
      </c>
      <c r="AY17" s="27" t="s">
        <v>57</v>
      </c>
      <c r="AZ17" s="27" t="s">
        <v>58</v>
      </c>
      <c r="BA17" s="11" t="s">
        <v>59</v>
      </c>
      <c r="BC17" s="25">
        <f>AW17+AX17</f>
        <v>0</v>
      </c>
      <c r="BD17" s="25">
        <f>G17/(100-BE17)*100</f>
        <v>0</v>
      </c>
      <c r="BE17" s="25">
        <v>0</v>
      </c>
      <c r="BF17" s="25">
        <f>17</f>
        <v>17</v>
      </c>
      <c r="BH17" s="25">
        <f>F17*AO17</f>
        <v>0</v>
      </c>
      <c r="BI17" s="25">
        <f>F17*AP17</f>
        <v>0</v>
      </c>
      <c r="BJ17" s="25">
        <f>F17*G17</f>
        <v>0</v>
      </c>
      <c r="BK17" s="25"/>
      <c r="BL17" s="25">
        <v>13</v>
      </c>
      <c r="BW17" s="25">
        <v>21</v>
      </c>
      <c r="BX17" s="5" t="s">
        <v>70</v>
      </c>
    </row>
    <row r="18" spans="1:76" x14ac:dyDescent="0.25">
      <c r="A18" s="30" t="s">
        <v>49</v>
      </c>
      <c r="B18" s="31" t="s">
        <v>71</v>
      </c>
      <c r="C18" s="71" t="s">
        <v>72</v>
      </c>
      <c r="D18" s="72"/>
      <c r="E18" s="32" t="s">
        <v>3</v>
      </c>
      <c r="F18" s="32" t="s">
        <v>3</v>
      </c>
      <c r="G18" s="32" t="s">
        <v>3</v>
      </c>
      <c r="H18" s="1">
        <f>SUM(H19:H19)</f>
        <v>0</v>
      </c>
      <c r="I18" s="1">
        <f>SUM(I19:I19)</f>
        <v>0</v>
      </c>
      <c r="J18" s="1">
        <f>SUM(J19:J19)</f>
        <v>0</v>
      </c>
      <c r="K18" s="33" t="s">
        <v>49</v>
      </c>
      <c r="AI18" s="11" t="s">
        <v>49</v>
      </c>
      <c r="AS18" s="1">
        <f>SUM(AJ19:AJ19)</f>
        <v>0</v>
      </c>
      <c r="AT18" s="1">
        <f>SUM(AK19:AK19)</f>
        <v>0</v>
      </c>
      <c r="AU18" s="1">
        <f>SUM(AL19:AL19)</f>
        <v>0</v>
      </c>
    </row>
    <row r="19" spans="1:76" x14ac:dyDescent="0.25">
      <c r="A19" s="2" t="s">
        <v>73</v>
      </c>
      <c r="B19" s="3" t="s">
        <v>74</v>
      </c>
      <c r="C19" s="69" t="s">
        <v>75</v>
      </c>
      <c r="D19" s="70"/>
      <c r="E19" s="3" t="s">
        <v>76</v>
      </c>
      <c r="F19" s="25">
        <v>113</v>
      </c>
      <c r="G19" s="25">
        <v>0</v>
      </c>
      <c r="H19" s="25">
        <f>F19*AO19</f>
        <v>0</v>
      </c>
      <c r="I19" s="25">
        <f>F19*AP19</f>
        <v>0</v>
      </c>
      <c r="J19" s="25">
        <f>F19*G19</f>
        <v>0</v>
      </c>
      <c r="K19" s="26" t="s">
        <v>56</v>
      </c>
      <c r="Z19" s="25">
        <f>IF(AQ19="5",BJ19,0)</f>
        <v>0</v>
      </c>
      <c r="AB19" s="25">
        <f>IF(AQ19="1",BH19,0)</f>
        <v>0</v>
      </c>
      <c r="AC19" s="25">
        <f>IF(AQ19="1",BI19,0)</f>
        <v>0</v>
      </c>
      <c r="AD19" s="25">
        <f>IF(AQ19="7",BH19,0)</f>
        <v>0</v>
      </c>
      <c r="AE19" s="25">
        <f>IF(AQ19="7",BI19,0)</f>
        <v>0</v>
      </c>
      <c r="AF19" s="25">
        <f>IF(AQ19="2",BH19,0)</f>
        <v>0</v>
      </c>
      <c r="AG19" s="25">
        <f>IF(AQ19="2",BI19,0)</f>
        <v>0</v>
      </c>
      <c r="AH19" s="25">
        <f>IF(AQ19="0",BJ19,0)</f>
        <v>0</v>
      </c>
      <c r="AI19" s="11" t="s">
        <v>49</v>
      </c>
      <c r="AJ19" s="25">
        <f>IF(AN19=0,J19,0)</f>
        <v>0</v>
      </c>
      <c r="AK19" s="25">
        <f>IF(AN19=12,J19,0)</f>
        <v>0</v>
      </c>
      <c r="AL19" s="25">
        <f>IF(AN19=21,J19,0)</f>
        <v>0</v>
      </c>
      <c r="AN19" s="25">
        <v>21</v>
      </c>
      <c r="AO19" s="25">
        <f>G19*0</f>
        <v>0</v>
      </c>
      <c r="AP19" s="25">
        <f>G19*(1-0)</f>
        <v>0</v>
      </c>
      <c r="AQ19" s="27" t="s">
        <v>52</v>
      </c>
      <c r="AV19" s="25">
        <f>AW19+AX19</f>
        <v>0</v>
      </c>
      <c r="AW19" s="25">
        <f>F19*AO19</f>
        <v>0</v>
      </c>
      <c r="AX19" s="25">
        <f>F19*AP19</f>
        <v>0</v>
      </c>
      <c r="AY19" s="27" t="s">
        <v>77</v>
      </c>
      <c r="AZ19" s="27" t="s">
        <v>58</v>
      </c>
      <c r="BA19" s="11" t="s">
        <v>59</v>
      </c>
      <c r="BC19" s="25">
        <f>AW19+AX19</f>
        <v>0</v>
      </c>
      <c r="BD19" s="25">
        <f>G19/(100-BE19)*100</f>
        <v>0</v>
      </c>
      <c r="BE19" s="25">
        <v>0</v>
      </c>
      <c r="BF19" s="25">
        <f>19</f>
        <v>19</v>
      </c>
      <c r="BH19" s="25">
        <f>F19*AO19</f>
        <v>0</v>
      </c>
      <c r="BI19" s="25">
        <f>F19*AP19</f>
        <v>0</v>
      </c>
      <c r="BJ19" s="25">
        <f>F19*G19</f>
        <v>0</v>
      </c>
      <c r="BK19" s="25"/>
      <c r="BL19" s="25">
        <v>18</v>
      </c>
      <c r="BW19" s="25">
        <v>21</v>
      </c>
      <c r="BX19" s="5" t="s">
        <v>75</v>
      </c>
    </row>
    <row r="20" spans="1:76" ht="13.5" customHeight="1" x14ac:dyDescent="0.25">
      <c r="A20" s="28"/>
      <c r="B20" s="29" t="s">
        <v>60</v>
      </c>
      <c r="C20" s="77" t="s">
        <v>78</v>
      </c>
      <c r="D20" s="78"/>
      <c r="E20" s="78"/>
      <c r="F20" s="78"/>
      <c r="G20" s="78"/>
      <c r="H20" s="78"/>
      <c r="I20" s="78"/>
      <c r="J20" s="78"/>
      <c r="K20" s="79"/>
    </row>
    <row r="21" spans="1:76" x14ac:dyDescent="0.25">
      <c r="A21" s="30" t="s">
        <v>49</v>
      </c>
      <c r="B21" s="31" t="s">
        <v>79</v>
      </c>
      <c r="C21" s="71" t="s">
        <v>80</v>
      </c>
      <c r="D21" s="72"/>
      <c r="E21" s="32" t="s">
        <v>3</v>
      </c>
      <c r="F21" s="32" t="s">
        <v>3</v>
      </c>
      <c r="G21" s="32" t="s">
        <v>3</v>
      </c>
      <c r="H21" s="1">
        <f>SUM(H22:H32)</f>
        <v>0</v>
      </c>
      <c r="I21" s="1">
        <f>SUM(I22:I32)</f>
        <v>0</v>
      </c>
      <c r="J21" s="1">
        <f>SUM(J22:J32)</f>
        <v>0</v>
      </c>
      <c r="K21" s="33" t="s">
        <v>49</v>
      </c>
      <c r="AI21" s="11" t="s">
        <v>49</v>
      </c>
      <c r="AS21" s="1">
        <f>SUM(AJ22:AJ32)</f>
        <v>0</v>
      </c>
      <c r="AT21" s="1">
        <f>SUM(AK22:AK32)</f>
        <v>0</v>
      </c>
      <c r="AU21" s="1">
        <f>SUM(AL22:AL32)</f>
        <v>0</v>
      </c>
    </row>
    <row r="22" spans="1:76" x14ac:dyDescent="0.25">
      <c r="A22" s="2" t="s">
        <v>81</v>
      </c>
      <c r="B22" s="3" t="s">
        <v>82</v>
      </c>
      <c r="C22" s="69" t="s">
        <v>83</v>
      </c>
      <c r="D22" s="70"/>
      <c r="E22" s="3" t="s">
        <v>76</v>
      </c>
      <c r="F22" s="25">
        <v>55.737000000000002</v>
      </c>
      <c r="G22" s="25">
        <v>0</v>
      </c>
      <c r="H22" s="25">
        <f>F22*AO22</f>
        <v>0</v>
      </c>
      <c r="I22" s="25">
        <f>F22*AP22</f>
        <v>0</v>
      </c>
      <c r="J22" s="25">
        <f>F22*G22</f>
        <v>0</v>
      </c>
      <c r="K22" s="26" t="s">
        <v>56</v>
      </c>
      <c r="Z22" s="25">
        <f>IF(AQ22="5",BJ22,0)</f>
        <v>0</v>
      </c>
      <c r="AB22" s="25">
        <f>IF(AQ22="1",BH22,0)</f>
        <v>0</v>
      </c>
      <c r="AC22" s="25">
        <f>IF(AQ22="1",BI22,0)</f>
        <v>0</v>
      </c>
      <c r="AD22" s="25">
        <f>IF(AQ22="7",BH22,0)</f>
        <v>0</v>
      </c>
      <c r="AE22" s="25">
        <f>IF(AQ22="7",BI22,0)</f>
        <v>0</v>
      </c>
      <c r="AF22" s="25">
        <f>IF(AQ22="2",BH22,0)</f>
        <v>0</v>
      </c>
      <c r="AG22" s="25">
        <f>IF(AQ22="2",BI22,0)</f>
        <v>0</v>
      </c>
      <c r="AH22" s="25">
        <f>IF(AQ22="0",BJ22,0)</f>
        <v>0</v>
      </c>
      <c r="AI22" s="11" t="s">
        <v>49</v>
      </c>
      <c r="AJ22" s="25">
        <f>IF(AN22=0,J22,0)</f>
        <v>0</v>
      </c>
      <c r="AK22" s="25">
        <f>IF(AN22=12,J22,0)</f>
        <v>0</v>
      </c>
      <c r="AL22" s="25">
        <f>IF(AN22=21,J22,0)</f>
        <v>0</v>
      </c>
      <c r="AN22" s="25">
        <v>21</v>
      </c>
      <c r="AO22" s="25">
        <f>G22*0.334811426</f>
        <v>0</v>
      </c>
      <c r="AP22" s="25">
        <f>G22*(1-0.334811426)</f>
        <v>0</v>
      </c>
      <c r="AQ22" s="27" t="s">
        <v>52</v>
      </c>
      <c r="AV22" s="25">
        <f>AW22+AX22</f>
        <v>0</v>
      </c>
      <c r="AW22" s="25">
        <f>F22*AO22</f>
        <v>0</v>
      </c>
      <c r="AX22" s="25">
        <f>F22*AP22</f>
        <v>0</v>
      </c>
      <c r="AY22" s="27" t="s">
        <v>84</v>
      </c>
      <c r="AZ22" s="27" t="s">
        <v>85</v>
      </c>
      <c r="BA22" s="11" t="s">
        <v>59</v>
      </c>
      <c r="BC22" s="25">
        <f>AW22+AX22</f>
        <v>0</v>
      </c>
      <c r="BD22" s="25">
        <f>G22/(100-BE22)*100</f>
        <v>0</v>
      </c>
      <c r="BE22" s="25">
        <v>0</v>
      </c>
      <c r="BF22" s="25">
        <f>22</f>
        <v>22</v>
      </c>
      <c r="BH22" s="25">
        <f>F22*AO22</f>
        <v>0</v>
      </c>
      <c r="BI22" s="25">
        <f>F22*AP22</f>
        <v>0</v>
      </c>
      <c r="BJ22" s="25">
        <f>F22*G22</f>
        <v>0</v>
      </c>
      <c r="BK22" s="25"/>
      <c r="BL22" s="25">
        <v>27</v>
      </c>
      <c r="BW22" s="25">
        <v>21</v>
      </c>
      <c r="BX22" s="5" t="s">
        <v>83</v>
      </c>
    </row>
    <row r="23" spans="1:76" ht="13.5" customHeight="1" x14ac:dyDescent="0.25">
      <c r="A23" s="28"/>
      <c r="B23" s="29" t="s">
        <v>60</v>
      </c>
      <c r="C23" s="77" t="s">
        <v>86</v>
      </c>
      <c r="D23" s="78"/>
      <c r="E23" s="78"/>
      <c r="F23" s="78"/>
      <c r="G23" s="78"/>
      <c r="H23" s="78"/>
      <c r="I23" s="78"/>
      <c r="J23" s="78"/>
      <c r="K23" s="79"/>
    </row>
    <row r="24" spans="1:76" x14ac:dyDescent="0.25">
      <c r="A24" s="2" t="s">
        <v>87</v>
      </c>
      <c r="B24" s="3" t="s">
        <v>88</v>
      </c>
      <c r="C24" s="69" t="s">
        <v>89</v>
      </c>
      <c r="D24" s="70"/>
      <c r="E24" s="3" t="s">
        <v>55</v>
      </c>
      <c r="F24" s="25">
        <v>12.661</v>
      </c>
      <c r="G24" s="25">
        <v>0</v>
      </c>
      <c r="H24" s="25">
        <f>F24*AO24</f>
        <v>0</v>
      </c>
      <c r="I24" s="25">
        <f>F24*AP24</f>
        <v>0</v>
      </c>
      <c r="J24" s="25">
        <f>F24*G24</f>
        <v>0</v>
      </c>
      <c r="K24" s="26" t="s">
        <v>56</v>
      </c>
      <c r="Z24" s="25">
        <f>IF(AQ24="5",BJ24,0)</f>
        <v>0</v>
      </c>
      <c r="AB24" s="25">
        <f>IF(AQ24="1",BH24,0)</f>
        <v>0</v>
      </c>
      <c r="AC24" s="25">
        <f>IF(AQ24="1",BI24,0)</f>
        <v>0</v>
      </c>
      <c r="AD24" s="25">
        <f>IF(AQ24="7",BH24,0)</f>
        <v>0</v>
      </c>
      <c r="AE24" s="25">
        <f>IF(AQ24="7",BI24,0)</f>
        <v>0</v>
      </c>
      <c r="AF24" s="25">
        <f>IF(AQ24="2",BH24,0)</f>
        <v>0</v>
      </c>
      <c r="AG24" s="25">
        <f>IF(AQ24="2",BI24,0)</f>
        <v>0</v>
      </c>
      <c r="AH24" s="25">
        <f>IF(AQ24="0",BJ24,0)</f>
        <v>0</v>
      </c>
      <c r="AI24" s="11" t="s">
        <v>49</v>
      </c>
      <c r="AJ24" s="25">
        <f>IF(AN24=0,J24,0)</f>
        <v>0</v>
      </c>
      <c r="AK24" s="25">
        <f>IF(AN24=12,J24,0)</f>
        <v>0</v>
      </c>
      <c r="AL24" s="25">
        <f>IF(AN24=21,J24,0)</f>
        <v>0</v>
      </c>
      <c r="AN24" s="25">
        <v>21</v>
      </c>
      <c r="AO24" s="25">
        <f>G24*0.915892997</f>
        <v>0</v>
      </c>
      <c r="AP24" s="25">
        <f>G24*(1-0.915892997)</f>
        <v>0</v>
      </c>
      <c r="AQ24" s="27" t="s">
        <v>52</v>
      </c>
      <c r="AV24" s="25">
        <f>AW24+AX24</f>
        <v>0</v>
      </c>
      <c r="AW24" s="25">
        <f>F24*AO24</f>
        <v>0</v>
      </c>
      <c r="AX24" s="25">
        <f>F24*AP24</f>
        <v>0</v>
      </c>
      <c r="AY24" s="27" t="s">
        <v>84</v>
      </c>
      <c r="AZ24" s="27" t="s">
        <v>85</v>
      </c>
      <c r="BA24" s="11" t="s">
        <v>59</v>
      </c>
      <c r="BC24" s="25">
        <f>AW24+AX24</f>
        <v>0</v>
      </c>
      <c r="BD24" s="25">
        <f>G24/(100-BE24)*100</f>
        <v>0</v>
      </c>
      <c r="BE24" s="25">
        <v>0</v>
      </c>
      <c r="BF24" s="25">
        <f>24</f>
        <v>24</v>
      </c>
      <c r="BH24" s="25">
        <f>F24*AO24</f>
        <v>0</v>
      </c>
      <c r="BI24" s="25">
        <f>F24*AP24</f>
        <v>0</v>
      </c>
      <c r="BJ24" s="25">
        <f>F24*G24</f>
        <v>0</v>
      </c>
      <c r="BK24" s="25"/>
      <c r="BL24" s="25">
        <v>27</v>
      </c>
      <c r="BW24" s="25">
        <v>21</v>
      </c>
      <c r="BX24" s="5" t="s">
        <v>89</v>
      </c>
    </row>
    <row r="25" spans="1:76" x14ac:dyDescent="0.25">
      <c r="A25" s="2" t="s">
        <v>90</v>
      </c>
      <c r="B25" s="3" t="s">
        <v>91</v>
      </c>
      <c r="C25" s="69" t="s">
        <v>92</v>
      </c>
      <c r="D25" s="70"/>
      <c r="E25" s="3" t="s">
        <v>76</v>
      </c>
      <c r="F25" s="25">
        <v>4.4809999999999999</v>
      </c>
      <c r="G25" s="25">
        <v>0</v>
      </c>
      <c r="H25" s="25">
        <f>F25*AO25</f>
        <v>0</v>
      </c>
      <c r="I25" s="25">
        <f>F25*AP25</f>
        <v>0</v>
      </c>
      <c r="J25" s="25">
        <f>F25*G25</f>
        <v>0</v>
      </c>
      <c r="K25" s="26" t="s">
        <v>56</v>
      </c>
      <c r="Z25" s="25">
        <f>IF(AQ25="5",BJ25,0)</f>
        <v>0</v>
      </c>
      <c r="AB25" s="25">
        <f>IF(AQ25="1",BH25,0)</f>
        <v>0</v>
      </c>
      <c r="AC25" s="25">
        <f>IF(AQ25="1",BI25,0)</f>
        <v>0</v>
      </c>
      <c r="AD25" s="25">
        <f>IF(AQ25="7",BH25,0)</f>
        <v>0</v>
      </c>
      <c r="AE25" s="25">
        <f>IF(AQ25="7",BI25,0)</f>
        <v>0</v>
      </c>
      <c r="AF25" s="25">
        <f>IF(AQ25="2",BH25,0)</f>
        <v>0</v>
      </c>
      <c r="AG25" s="25">
        <f>IF(AQ25="2",BI25,0)</f>
        <v>0</v>
      </c>
      <c r="AH25" s="25">
        <f>IF(AQ25="0",BJ25,0)</f>
        <v>0</v>
      </c>
      <c r="AI25" s="11" t="s">
        <v>49</v>
      </c>
      <c r="AJ25" s="25">
        <f>IF(AN25=0,J25,0)</f>
        <v>0</v>
      </c>
      <c r="AK25" s="25">
        <f>IF(AN25=12,J25,0)</f>
        <v>0</v>
      </c>
      <c r="AL25" s="25">
        <f>IF(AN25=21,J25,0)</f>
        <v>0</v>
      </c>
      <c r="AN25" s="25">
        <v>21</v>
      </c>
      <c r="AO25" s="25">
        <f>G25*0.6843625</f>
        <v>0</v>
      </c>
      <c r="AP25" s="25">
        <f>G25*(1-0.6843625)</f>
        <v>0</v>
      </c>
      <c r="AQ25" s="27" t="s">
        <v>52</v>
      </c>
      <c r="AV25" s="25">
        <f>AW25+AX25</f>
        <v>0</v>
      </c>
      <c r="AW25" s="25">
        <f>F25*AO25</f>
        <v>0</v>
      </c>
      <c r="AX25" s="25">
        <f>F25*AP25</f>
        <v>0</v>
      </c>
      <c r="AY25" s="27" t="s">
        <v>84</v>
      </c>
      <c r="AZ25" s="27" t="s">
        <v>85</v>
      </c>
      <c r="BA25" s="11" t="s">
        <v>59</v>
      </c>
      <c r="BC25" s="25">
        <f>AW25+AX25</f>
        <v>0</v>
      </c>
      <c r="BD25" s="25">
        <f>G25/(100-BE25)*100</f>
        <v>0</v>
      </c>
      <c r="BE25" s="25">
        <v>0</v>
      </c>
      <c r="BF25" s="25">
        <f>25</f>
        <v>25</v>
      </c>
      <c r="BH25" s="25">
        <f>F25*AO25</f>
        <v>0</v>
      </c>
      <c r="BI25" s="25">
        <f>F25*AP25</f>
        <v>0</v>
      </c>
      <c r="BJ25" s="25">
        <f>F25*G25</f>
        <v>0</v>
      </c>
      <c r="BK25" s="25"/>
      <c r="BL25" s="25">
        <v>27</v>
      </c>
      <c r="BW25" s="25">
        <v>21</v>
      </c>
      <c r="BX25" s="5" t="s">
        <v>92</v>
      </c>
    </row>
    <row r="26" spans="1:76" ht="13.5" customHeight="1" x14ac:dyDescent="0.25">
      <c r="A26" s="28"/>
      <c r="B26" s="29" t="s">
        <v>60</v>
      </c>
      <c r="C26" s="77" t="s">
        <v>93</v>
      </c>
      <c r="D26" s="78"/>
      <c r="E26" s="78"/>
      <c r="F26" s="78"/>
      <c r="G26" s="78"/>
      <c r="H26" s="78"/>
      <c r="I26" s="78"/>
      <c r="J26" s="78"/>
      <c r="K26" s="79"/>
    </row>
    <row r="27" spans="1:76" x14ac:dyDescent="0.25">
      <c r="A27" s="2" t="s">
        <v>94</v>
      </c>
      <c r="B27" s="3" t="s">
        <v>95</v>
      </c>
      <c r="C27" s="69" t="s">
        <v>96</v>
      </c>
      <c r="D27" s="70"/>
      <c r="E27" s="3" t="s">
        <v>76</v>
      </c>
      <c r="F27" s="25">
        <v>4.4809999999999999</v>
      </c>
      <c r="G27" s="25">
        <v>0</v>
      </c>
      <c r="H27" s="25">
        <f>F27*AO27</f>
        <v>0</v>
      </c>
      <c r="I27" s="25">
        <f>F27*AP27</f>
        <v>0</v>
      </c>
      <c r="J27" s="25">
        <f>F27*G27</f>
        <v>0</v>
      </c>
      <c r="K27" s="26" t="s">
        <v>56</v>
      </c>
      <c r="Z27" s="25">
        <f>IF(AQ27="5",BJ27,0)</f>
        <v>0</v>
      </c>
      <c r="AB27" s="25">
        <f>IF(AQ27="1",BH27,0)</f>
        <v>0</v>
      </c>
      <c r="AC27" s="25">
        <f>IF(AQ27="1",BI27,0)</f>
        <v>0</v>
      </c>
      <c r="AD27" s="25">
        <f>IF(AQ27="7",BH27,0)</f>
        <v>0</v>
      </c>
      <c r="AE27" s="25">
        <f>IF(AQ27="7",BI27,0)</f>
        <v>0</v>
      </c>
      <c r="AF27" s="25">
        <f>IF(AQ27="2",BH27,0)</f>
        <v>0</v>
      </c>
      <c r="AG27" s="25">
        <f>IF(AQ27="2",BI27,0)</f>
        <v>0</v>
      </c>
      <c r="AH27" s="25">
        <f>IF(AQ27="0",BJ27,0)</f>
        <v>0</v>
      </c>
      <c r="AI27" s="11" t="s">
        <v>49</v>
      </c>
      <c r="AJ27" s="25">
        <f>IF(AN27=0,J27,0)</f>
        <v>0</v>
      </c>
      <c r="AK27" s="25">
        <f>IF(AN27=12,J27,0)</f>
        <v>0</v>
      </c>
      <c r="AL27" s="25">
        <f>IF(AN27=21,J27,0)</f>
        <v>0</v>
      </c>
      <c r="AN27" s="25">
        <v>21</v>
      </c>
      <c r="AO27" s="25">
        <f>G27*0</f>
        <v>0</v>
      </c>
      <c r="AP27" s="25">
        <f>G27*(1-0)</f>
        <v>0</v>
      </c>
      <c r="AQ27" s="27" t="s">
        <v>52</v>
      </c>
      <c r="AV27" s="25">
        <f>AW27+AX27</f>
        <v>0</v>
      </c>
      <c r="AW27" s="25">
        <f>F27*AO27</f>
        <v>0</v>
      </c>
      <c r="AX27" s="25">
        <f>F27*AP27</f>
        <v>0</v>
      </c>
      <c r="AY27" s="27" t="s">
        <v>84</v>
      </c>
      <c r="AZ27" s="27" t="s">
        <v>85</v>
      </c>
      <c r="BA27" s="11" t="s">
        <v>59</v>
      </c>
      <c r="BC27" s="25">
        <f>AW27+AX27</f>
        <v>0</v>
      </c>
      <c r="BD27" s="25">
        <f>G27/(100-BE27)*100</f>
        <v>0</v>
      </c>
      <c r="BE27" s="25">
        <v>0</v>
      </c>
      <c r="BF27" s="25">
        <f>27</f>
        <v>27</v>
      </c>
      <c r="BH27" s="25">
        <f>F27*AO27</f>
        <v>0</v>
      </c>
      <c r="BI27" s="25">
        <f>F27*AP27</f>
        <v>0</v>
      </c>
      <c r="BJ27" s="25">
        <f>F27*G27</f>
        <v>0</v>
      </c>
      <c r="BK27" s="25"/>
      <c r="BL27" s="25">
        <v>27</v>
      </c>
      <c r="BW27" s="25">
        <v>21</v>
      </c>
      <c r="BX27" s="5" t="s">
        <v>96</v>
      </c>
    </row>
    <row r="28" spans="1:76" x14ac:dyDescent="0.25">
      <c r="A28" s="2" t="s">
        <v>97</v>
      </c>
      <c r="B28" s="3" t="s">
        <v>98</v>
      </c>
      <c r="C28" s="69" t="s">
        <v>99</v>
      </c>
      <c r="D28" s="70"/>
      <c r="E28" s="3" t="s">
        <v>100</v>
      </c>
      <c r="F28" s="25">
        <v>0.95799999999999996</v>
      </c>
      <c r="G28" s="25">
        <v>0</v>
      </c>
      <c r="H28" s="25">
        <f>F28*AO28</f>
        <v>0</v>
      </c>
      <c r="I28" s="25">
        <f>F28*AP28</f>
        <v>0</v>
      </c>
      <c r="J28" s="25">
        <f>F28*G28</f>
        <v>0</v>
      </c>
      <c r="K28" s="26" t="s">
        <v>56</v>
      </c>
      <c r="Z28" s="25">
        <f>IF(AQ28="5",BJ28,0)</f>
        <v>0</v>
      </c>
      <c r="AB28" s="25">
        <f>IF(AQ28="1",BH28,0)</f>
        <v>0</v>
      </c>
      <c r="AC28" s="25">
        <f>IF(AQ28="1",BI28,0)</f>
        <v>0</v>
      </c>
      <c r="AD28" s="25">
        <f>IF(AQ28="7",BH28,0)</f>
        <v>0</v>
      </c>
      <c r="AE28" s="25">
        <f>IF(AQ28="7",BI28,0)</f>
        <v>0</v>
      </c>
      <c r="AF28" s="25">
        <f>IF(AQ28="2",BH28,0)</f>
        <v>0</v>
      </c>
      <c r="AG28" s="25">
        <f>IF(AQ28="2",BI28,0)</f>
        <v>0</v>
      </c>
      <c r="AH28" s="25">
        <f>IF(AQ28="0",BJ28,0)</f>
        <v>0</v>
      </c>
      <c r="AI28" s="11" t="s">
        <v>49</v>
      </c>
      <c r="AJ28" s="25">
        <f>IF(AN28=0,J28,0)</f>
        <v>0</v>
      </c>
      <c r="AK28" s="25">
        <f>IF(AN28=12,J28,0)</f>
        <v>0</v>
      </c>
      <c r="AL28" s="25">
        <f>IF(AN28=21,J28,0)</f>
        <v>0</v>
      </c>
      <c r="AN28" s="25">
        <v>21</v>
      </c>
      <c r="AO28" s="25">
        <f>G28*0.789985121</f>
        <v>0</v>
      </c>
      <c r="AP28" s="25">
        <f>G28*(1-0.789985121)</f>
        <v>0</v>
      </c>
      <c r="AQ28" s="27" t="s">
        <v>52</v>
      </c>
      <c r="AV28" s="25">
        <f>AW28+AX28</f>
        <v>0</v>
      </c>
      <c r="AW28" s="25">
        <f>F28*AO28</f>
        <v>0</v>
      </c>
      <c r="AX28" s="25">
        <f>F28*AP28</f>
        <v>0</v>
      </c>
      <c r="AY28" s="27" t="s">
        <v>84</v>
      </c>
      <c r="AZ28" s="27" t="s">
        <v>85</v>
      </c>
      <c r="BA28" s="11" t="s">
        <v>59</v>
      </c>
      <c r="BC28" s="25">
        <f>AW28+AX28</f>
        <v>0</v>
      </c>
      <c r="BD28" s="25">
        <f>G28/(100-BE28)*100</f>
        <v>0</v>
      </c>
      <c r="BE28" s="25">
        <v>0</v>
      </c>
      <c r="BF28" s="25">
        <f>28</f>
        <v>28</v>
      </c>
      <c r="BH28" s="25">
        <f>F28*AO28</f>
        <v>0</v>
      </c>
      <c r="BI28" s="25">
        <f>F28*AP28</f>
        <v>0</v>
      </c>
      <c r="BJ28" s="25">
        <f>F28*G28</f>
        <v>0</v>
      </c>
      <c r="BK28" s="25"/>
      <c r="BL28" s="25">
        <v>27</v>
      </c>
      <c r="BW28" s="25">
        <v>21</v>
      </c>
      <c r="BX28" s="5" t="s">
        <v>99</v>
      </c>
    </row>
    <row r="29" spans="1:76" ht="13.5" customHeight="1" x14ac:dyDescent="0.25">
      <c r="A29" s="28"/>
      <c r="B29" s="29" t="s">
        <v>60</v>
      </c>
      <c r="C29" s="77" t="s">
        <v>101</v>
      </c>
      <c r="D29" s="78"/>
      <c r="E29" s="78"/>
      <c r="F29" s="78"/>
      <c r="G29" s="78"/>
      <c r="H29" s="78"/>
      <c r="I29" s="78"/>
      <c r="J29" s="78"/>
      <c r="K29" s="79"/>
    </row>
    <row r="30" spans="1:76" x14ac:dyDescent="0.25">
      <c r="A30" s="2" t="s">
        <v>102</v>
      </c>
      <c r="B30" s="3" t="s">
        <v>103</v>
      </c>
      <c r="C30" s="69" t="s">
        <v>104</v>
      </c>
      <c r="D30" s="70"/>
      <c r="E30" s="3" t="s">
        <v>55</v>
      </c>
      <c r="F30" s="25">
        <v>13.467000000000001</v>
      </c>
      <c r="G30" s="25">
        <v>0</v>
      </c>
      <c r="H30" s="25">
        <f>F30*AO30</f>
        <v>0</v>
      </c>
      <c r="I30" s="25">
        <f>F30*AP30</f>
        <v>0</v>
      </c>
      <c r="J30" s="25">
        <f>F30*G30</f>
        <v>0</v>
      </c>
      <c r="K30" s="26" t="s">
        <v>56</v>
      </c>
      <c r="Z30" s="25">
        <f>IF(AQ30="5",BJ30,0)</f>
        <v>0</v>
      </c>
      <c r="AB30" s="25">
        <f>IF(AQ30="1",BH30,0)</f>
        <v>0</v>
      </c>
      <c r="AC30" s="25">
        <f>IF(AQ30="1",BI30,0)</f>
        <v>0</v>
      </c>
      <c r="AD30" s="25">
        <f>IF(AQ30="7",BH30,0)</f>
        <v>0</v>
      </c>
      <c r="AE30" s="25">
        <f>IF(AQ30="7",BI30,0)</f>
        <v>0</v>
      </c>
      <c r="AF30" s="25">
        <f>IF(AQ30="2",BH30,0)</f>
        <v>0</v>
      </c>
      <c r="AG30" s="25">
        <f>IF(AQ30="2",BI30,0)</f>
        <v>0</v>
      </c>
      <c r="AH30" s="25">
        <f>IF(AQ30="0",BJ30,0)</f>
        <v>0</v>
      </c>
      <c r="AI30" s="11" t="s">
        <v>49</v>
      </c>
      <c r="AJ30" s="25">
        <f>IF(AN30=0,J30,0)</f>
        <v>0</v>
      </c>
      <c r="AK30" s="25">
        <f>IF(AN30=12,J30,0)</f>
        <v>0</v>
      </c>
      <c r="AL30" s="25">
        <f>IF(AN30=21,J30,0)</f>
        <v>0</v>
      </c>
      <c r="AN30" s="25">
        <v>21</v>
      </c>
      <c r="AO30" s="25">
        <f>G30*0.915892807</f>
        <v>0</v>
      </c>
      <c r="AP30" s="25">
        <f>G30*(1-0.915892807)</f>
        <v>0</v>
      </c>
      <c r="AQ30" s="27" t="s">
        <v>52</v>
      </c>
      <c r="AV30" s="25">
        <f>AW30+AX30</f>
        <v>0</v>
      </c>
      <c r="AW30" s="25">
        <f>F30*AO30</f>
        <v>0</v>
      </c>
      <c r="AX30" s="25">
        <f>F30*AP30</f>
        <v>0</v>
      </c>
      <c r="AY30" s="27" t="s">
        <v>84</v>
      </c>
      <c r="AZ30" s="27" t="s">
        <v>85</v>
      </c>
      <c r="BA30" s="11" t="s">
        <v>59</v>
      </c>
      <c r="BC30" s="25">
        <f>AW30+AX30</f>
        <v>0</v>
      </c>
      <c r="BD30" s="25">
        <f>G30/(100-BE30)*100</f>
        <v>0</v>
      </c>
      <c r="BE30" s="25">
        <v>0</v>
      </c>
      <c r="BF30" s="25">
        <f>30</f>
        <v>30</v>
      </c>
      <c r="BH30" s="25">
        <f>F30*AO30</f>
        <v>0</v>
      </c>
      <c r="BI30" s="25">
        <f>F30*AP30</f>
        <v>0</v>
      </c>
      <c r="BJ30" s="25">
        <f>F30*G30</f>
        <v>0</v>
      </c>
      <c r="BK30" s="25"/>
      <c r="BL30" s="25">
        <v>27</v>
      </c>
      <c r="BW30" s="25">
        <v>21</v>
      </c>
      <c r="BX30" s="5" t="s">
        <v>104</v>
      </c>
    </row>
    <row r="31" spans="1:76" x14ac:dyDescent="0.25">
      <c r="A31" s="2" t="s">
        <v>105</v>
      </c>
      <c r="B31" s="3" t="s">
        <v>106</v>
      </c>
      <c r="C31" s="69" t="s">
        <v>107</v>
      </c>
      <c r="D31" s="70"/>
      <c r="E31" s="3" t="s">
        <v>100</v>
      </c>
      <c r="F31" s="25">
        <v>0.59699999999999998</v>
      </c>
      <c r="G31" s="25">
        <v>0</v>
      </c>
      <c r="H31" s="25">
        <f>F31*AO31</f>
        <v>0</v>
      </c>
      <c r="I31" s="25">
        <f>F31*AP31</f>
        <v>0</v>
      </c>
      <c r="J31" s="25">
        <f>F31*G31</f>
        <v>0</v>
      </c>
      <c r="K31" s="26" t="s">
        <v>56</v>
      </c>
      <c r="Z31" s="25">
        <f>IF(AQ31="5",BJ31,0)</f>
        <v>0</v>
      </c>
      <c r="AB31" s="25">
        <f>IF(AQ31="1",BH31,0)</f>
        <v>0</v>
      </c>
      <c r="AC31" s="25">
        <f>IF(AQ31="1",BI31,0)</f>
        <v>0</v>
      </c>
      <c r="AD31" s="25">
        <f>IF(AQ31="7",BH31,0)</f>
        <v>0</v>
      </c>
      <c r="AE31" s="25">
        <f>IF(AQ31="7",BI31,0)</f>
        <v>0</v>
      </c>
      <c r="AF31" s="25">
        <f>IF(AQ31="2",BH31,0)</f>
        <v>0</v>
      </c>
      <c r="AG31" s="25">
        <f>IF(AQ31="2",BI31,0)</f>
        <v>0</v>
      </c>
      <c r="AH31" s="25">
        <f>IF(AQ31="0",BJ31,0)</f>
        <v>0</v>
      </c>
      <c r="AI31" s="11" t="s">
        <v>49</v>
      </c>
      <c r="AJ31" s="25">
        <f>IF(AN31=0,J31,0)</f>
        <v>0</v>
      </c>
      <c r="AK31" s="25">
        <f>IF(AN31=12,J31,0)</f>
        <v>0</v>
      </c>
      <c r="AL31" s="25">
        <f>IF(AN31=21,J31,0)</f>
        <v>0</v>
      </c>
      <c r="AN31" s="25">
        <v>21</v>
      </c>
      <c r="AO31" s="25">
        <f>G31*0.73180552</f>
        <v>0</v>
      </c>
      <c r="AP31" s="25">
        <f>G31*(1-0.73180552)</f>
        <v>0</v>
      </c>
      <c r="AQ31" s="27" t="s">
        <v>52</v>
      </c>
      <c r="AV31" s="25">
        <f>AW31+AX31</f>
        <v>0</v>
      </c>
      <c r="AW31" s="25">
        <f>F31*AO31</f>
        <v>0</v>
      </c>
      <c r="AX31" s="25">
        <f>F31*AP31</f>
        <v>0</v>
      </c>
      <c r="AY31" s="27" t="s">
        <v>84</v>
      </c>
      <c r="AZ31" s="27" t="s">
        <v>85</v>
      </c>
      <c r="BA31" s="11" t="s">
        <v>59</v>
      </c>
      <c r="BC31" s="25">
        <f>AW31+AX31</f>
        <v>0</v>
      </c>
      <c r="BD31" s="25">
        <f>G31/(100-BE31)*100</f>
        <v>0</v>
      </c>
      <c r="BE31" s="25">
        <v>0</v>
      </c>
      <c r="BF31" s="25">
        <f>31</f>
        <v>31</v>
      </c>
      <c r="BH31" s="25">
        <f>F31*AO31</f>
        <v>0</v>
      </c>
      <c r="BI31" s="25">
        <f>F31*AP31</f>
        <v>0</v>
      </c>
      <c r="BJ31" s="25">
        <f>F31*G31</f>
        <v>0</v>
      </c>
      <c r="BK31" s="25"/>
      <c r="BL31" s="25">
        <v>27</v>
      </c>
      <c r="BW31" s="25">
        <v>21</v>
      </c>
      <c r="BX31" s="5" t="s">
        <v>107</v>
      </c>
    </row>
    <row r="32" spans="1:76" x14ac:dyDescent="0.25">
      <c r="A32" s="2" t="s">
        <v>50</v>
      </c>
      <c r="B32" s="3" t="s">
        <v>108</v>
      </c>
      <c r="C32" s="69" t="s">
        <v>109</v>
      </c>
      <c r="D32" s="70"/>
      <c r="E32" s="3" t="s">
        <v>55</v>
      </c>
      <c r="F32" s="25">
        <v>0.39600000000000002</v>
      </c>
      <c r="G32" s="25">
        <v>0</v>
      </c>
      <c r="H32" s="25">
        <f>F32*AO32</f>
        <v>0</v>
      </c>
      <c r="I32" s="25">
        <f>F32*AP32</f>
        <v>0</v>
      </c>
      <c r="J32" s="25">
        <f>F32*G32</f>
        <v>0</v>
      </c>
      <c r="K32" s="26" t="s">
        <v>56</v>
      </c>
      <c r="Z32" s="25">
        <f>IF(AQ32="5",BJ32,0)</f>
        <v>0</v>
      </c>
      <c r="AB32" s="25">
        <f>IF(AQ32="1",BH32,0)</f>
        <v>0</v>
      </c>
      <c r="AC32" s="25">
        <f>IF(AQ32="1",BI32,0)</f>
        <v>0</v>
      </c>
      <c r="AD32" s="25">
        <f>IF(AQ32="7",BH32,0)</f>
        <v>0</v>
      </c>
      <c r="AE32" s="25">
        <f>IF(AQ32="7",BI32,0)</f>
        <v>0</v>
      </c>
      <c r="AF32" s="25">
        <f>IF(AQ32="2",BH32,0)</f>
        <v>0</v>
      </c>
      <c r="AG32" s="25">
        <f>IF(AQ32="2",BI32,0)</f>
        <v>0</v>
      </c>
      <c r="AH32" s="25">
        <f>IF(AQ32="0",BJ32,0)</f>
        <v>0</v>
      </c>
      <c r="AI32" s="11" t="s">
        <v>49</v>
      </c>
      <c r="AJ32" s="25">
        <f>IF(AN32=0,J32,0)</f>
        <v>0</v>
      </c>
      <c r="AK32" s="25">
        <f>IF(AN32=12,J32,0)</f>
        <v>0</v>
      </c>
      <c r="AL32" s="25">
        <f>IF(AN32=21,J32,0)</f>
        <v>0</v>
      </c>
      <c r="AN32" s="25">
        <v>21</v>
      </c>
      <c r="AO32" s="25">
        <f>G32*0.916253525</f>
        <v>0</v>
      </c>
      <c r="AP32" s="25">
        <f>G32*(1-0.916253525)</f>
        <v>0</v>
      </c>
      <c r="AQ32" s="27" t="s">
        <v>52</v>
      </c>
      <c r="AV32" s="25">
        <f>AW32+AX32</f>
        <v>0</v>
      </c>
      <c r="AW32" s="25">
        <f>F32*AO32</f>
        <v>0</v>
      </c>
      <c r="AX32" s="25">
        <f>F32*AP32</f>
        <v>0</v>
      </c>
      <c r="AY32" s="27" t="s">
        <v>84</v>
      </c>
      <c r="AZ32" s="27" t="s">
        <v>85</v>
      </c>
      <c r="BA32" s="11" t="s">
        <v>59</v>
      </c>
      <c r="BC32" s="25">
        <f>AW32+AX32</f>
        <v>0</v>
      </c>
      <c r="BD32" s="25">
        <f>G32/(100-BE32)*100</f>
        <v>0</v>
      </c>
      <c r="BE32" s="25">
        <v>0</v>
      </c>
      <c r="BF32" s="25">
        <f>32</f>
        <v>32</v>
      </c>
      <c r="BH32" s="25">
        <f>F32*AO32</f>
        <v>0</v>
      </c>
      <c r="BI32" s="25">
        <f>F32*AP32</f>
        <v>0</v>
      </c>
      <c r="BJ32" s="25">
        <f>F32*G32</f>
        <v>0</v>
      </c>
      <c r="BK32" s="25"/>
      <c r="BL32" s="25">
        <v>27</v>
      </c>
      <c r="BW32" s="25">
        <v>21</v>
      </c>
      <c r="BX32" s="5" t="s">
        <v>109</v>
      </c>
    </row>
    <row r="33" spans="1:76" x14ac:dyDescent="0.25">
      <c r="A33" s="30" t="s">
        <v>49</v>
      </c>
      <c r="B33" s="31" t="s">
        <v>110</v>
      </c>
      <c r="C33" s="71" t="s">
        <v>111</v>
      </c>
      <c r="D33" s="72"/>
      <c r="E33" s="32" t="s">
        <v>3</v>
      </c>
      <c r="F33" s="32" t="s">
        <v>3</v>
      </c>
      <c r="G33" s="32" t="s">
        <v>3</v>
      </c>
      <c r="H33" s="1">
        <f>SUM(H34:H39)</f>
        <v>0</v>
      </c>
      <c r="I33" s="1">
        <f>SUM(I34:I39)</f>
        <v>0</v>
      </c>
      <c r="J33" s="1">
        <f>SUM(J34:J39)</f>
        <v>0</v>
      </c>
      <c r="K33" s="33" t="s">
        <v>49</v>
      </c>
      <c r="AI33" s="11" t="s">
        <v>49</v>
      </c>
      <c r="AS33" s="1">
        <f>SUM(AJ34:AJ39)</f>
        <v>0</v>
      </c>
      <c r="AT33" s="1">
        <f>SUM(AK34:AK39)</f>
        <v>0</v>
      </c>
      <c r="AU33" s="1">
        <f>SUM(AL34:AL39)</f>
        <v>0</v>
      </c>
    </row>
    <row r="34" spans="1:76" x14ac:dyDescent="0.25">
      <c r="A34" s="2" t="s">
        <v>112</v>
      </c>
      <c r="B34" s="3" t="s">
        <v>113</v>
      </c>
      <c r="C34" s="69" t="s">
        <v>114</v>
      </c>
      <c r="D34" s="70"/>
      <c r="E34" s="3" t="s">
        <v>76</v>
      </c>
      <c r="F34" s="25">
        <v>17.829999999999998</v>
      </c>
      <c r="G34" s="25">
        <v>0</v>
      </c>
      <c r="H34" s="25">
        <f>F34*AO34</f>
        <v>0</v>
      </c>
      <c r="I34" s="25">
        <f>F34*AP34</f>
        <v>0</v>
      </c>
      <c r="J34" s="25">
        <f>F34*G34</f>
        <v>0</v>
      </c>
      <c r="K34" s="26" t="s">
        <v>56</v>
      </c>
      <c r="Z34" s="25">
        <f>IF(AQ34="5",BJ34,0)</f>
        <v>0</v>
      </c>
      <c r="AB34" s="25">
        <f>IF(AQ34="1",BH34,0)</f>
        <v>0</v>
      </c>
      <c r="AC34" s="25">
        <f>IF(AQ34="1",BI34,0)</f>
        <v>0</v>
      </c>
      <c r="AD34" s="25">
        <f>IF(AQ34="7",BH34,0)</f>
        <v>0</v>
      </c>
      <c r="AE34" s="25">
        <f>IF(AQ34="7",BI34,0)</f>
        <v>0</v>
      </c>
      <c r="AF34" s="25">
        <f>IF(AQ34="2",BH34,0)</f>
        <v>0</v>
      </c>
      <c r="AG34" s="25">
        <f>IF(AQ34="2",BI34,0)</f>
        <v>0</v>
      </c>
      <c r="AH34" s="25">
        <f>IF(AQ34="0",BJ34,0)</f>
        <v>0</v>
      </c>
      <c r="AI34" s="11" t="s">
        <v>49</v>
      </c>
      <c r="AJ34" s="25">
        <f>IF(AN34=0,J34,0)</f>
        <v>0</v>
      </c>
      <c r="AK34" s="25">
        <f>IF(AN34=12,J34,0)</f>
        <v>0</v>
      </c>
      <c r="AL34" s="25">
        <f>IF(AN34=21,J34,0)</f>
        <v>0</v>
      </c>
      <c r="AN34" s="25">
        <v>21</v>
      </c>
      <c r="AO34" s="25">
        <f>G34*0.803582569</f>
        <v>0</v>
      </c>
      <c r="AP34" s="25">
        <f>G34*(1-0.803582569)</f>
        <v>0</v>
      </c>
      <c r="AQ34" s="27" t="s">
        <v>52</v>
      </c>
      <c r="AV34" s="25">
        <f>AW34+AX34</f>
        <v>0</v>
      </c>
      <c r="AW34" s="25">
        <f>F34*AO34</f>
        <v>0</v>
      </c>
      <c r="AX34" s="25">
        <f>F34*AP34</f>
        <v>0</v>
      </c>
      <c r="AY34" s="27" t="s">
        <v>115</v>
      </c>
      <c r="AZ34" s="27" t="s">
        <v>116</v>
      </c>
      <c r="BA34" s="11" t="s">
        <v>59</v>
      </c>
      <c r="BC34" s="25">
        <f>AW34+AX34</f>
        <v>0</v>
      </c>
      <c r="BD34" s="25">
        <f>G34/(100-BE34)*100</f>
        <v>0</v>
      </c>
      <c r="BE34" s="25">
        <v>0</v>
      </c>
      <c r="BF34" s="25">
        <f>34</f>
        <v>34</v>
      </c>
      <c r="BH34" s="25">
        <f>F34*AO34</f>
        <v>0</v>
      </c>
      <c r="BI34" s="25">
        <f>F34*AP34</f>
        <v>0</v>
      </c>
      <c r="BJ34" s="25">
        <f>F34*G34</f>
        <v>0</v>
      </c>
      <c r="BK34" s="25"/>
      <c r="BL34" s="25">
        <v>31</v>
      </c>
      <c r="BW34" s="25">
        <v>21</v>
      </c>
      <c r="BX34" s="5" t="s">
        <v>114</v>
      </c>
    </row>
    <row r="35" spans="1:76" ht="13.5" customHeight="1" x14ac:dyDescent="0.25">
      <c r="A35" s="28"/>
      <c r="B35" s="29" t="s">
        <v>60</v>
      </c>
      <c r="C35" s="77" t="s">
        <v>117</v>
      </c>
      <c r="D35" s="78"/>
      <c r="E35" s="78"/>
      <c r="F35" s="78"/>
      <c r="G35" s="78"/>
      <c r="H35" s="78"/>
      <c r="I35" s="78"/>
      <c r="J35" s="78"/>
      <c r="K35" s="79"/>
    </row>
    <row r="36" spans="1:76" x14ac:dyDescent="0.25">
      <c r="A36" s="2" t="s">
        <v>118</v>
      </c>
      <c r="B36" s="3" t="s">
        <v>119</v>
      </c>
      <c r="C36" s="69" t="s">
        <v>120</v>
      </c>
      <c r="D36" s="70"/>
      <c r="E36" s="3" t="s">
        <v>76</v>
      </c>
      <c r="F36" s="25">
        <v>92.611000000000004</v>
      </c>
      <c r="G36" s="25">
        <v>0</v>
      </c>
      <c r="H36" s="25">
        <f>F36*AO36</f>
        <v>0</v>
      </c>
      <c r="I36" s="25">
        <f>F36*AP36</f>
        <v>0</v>
      </c>
      <c r="J36" s="25">
        <f>F36*G36</f>
        <v>0</v>
      </c>
      <c r="K36" s="26" t="s">
        <v>56</v>
      </c>
      <c r="Z36" s="25">
        <f>IF(AQ36="5",BJ36,0)</f>
        <v>0</v>
      </c>
      <c r="AB36" s="25">
        <f>IF(AQ36="1",BH36,0)</f>
        <v>0</v>
      </c>
      <c r="AC36" s="25">
        <f>IF(AQ36="1",BI36,0)</f>
        <v>0</v>
      </c>
      <c r="AD36" s="25">
        <f>IF(AQ36="7",BH36,0)</f>
        <v>0</v>
      </c>
      <c r="AE36" s="25">
        <f>IF(AQ36="7",BI36,0)</f>
        <v>0</v>
      </c>
      <c r="AF36" s="25">
        <f>IF(AQ36="2",BH36,0)</f>
        <v>0</v>
      </c>
      <c r="AG36" s="25">
        <f>IF(AQ36="2",BI36,0)</f>
        <v>0</v>
      </c>
      <c r="AH36" s="25">
        <f>IF(AQ36="0",BJ36,0)</f>
        <v>0</v>
      </c>
      <c r="AI36" s="11" t="s">
        <v>49</v>
      </c>
      <c r="AJ36" s="25">
        <f>IF(AN36=0,J36,0)</f>
        <v>0</v>
      </c>
      <c r="AK36" s="25">
        <f>IF(AN36=12,J36,0)</f>
        <v>0</v>
      </c>
      <c r="AL36" s="25">
        <f>IF(AN36=21,J36,0)</f>
        <v>0</v>
      </c>
      <c r="AN36" s="25">
        <v>21</v>
      </c>
      <c r="AO36" s="25">
        <f>G36*0.800598822</f>
        <v>0</v>
      </c>
      <c r="AP36" s="25">
        <f>G36*(1-0.800598822)</f>
        <v>0</v>
      </c>
      <c r="AQ36" s="27" t="s">
        <v>52</v>
      </c>
      <c r="AV36" s="25">
        <f>AW36+AX36</f>
        <v>0</v>
      </c>
      <c r="AW36" s="25">
        <f>F36*AO36</f>
        <v>0</v>
      </c>
      <c r="AX36" s="25">
        <f>F36*AP36</f>
        <v>0</v>
      </c>
      <c r="AY36" s="27" t="s">
        <v>115</v>
      </c>
      <c r="AZ36" s="27" t="s">
        <v>116</v>
      </c>
      <c r="BA36" s="11" t="s">
        <v>59</v>
      </c>
      <c r="BC36" s="25">
        <f>AW36+AX36</f>
        <v>0</v>
      </c>
      <c r="BD36" s="25">
        <f>G36/(100-BE36)*100</f>
        <v>0</v>
      </c>
      <c r="BE36" s="25">
        <v>0</v>
      </c>
      <c r="BF36" s="25">
        <f>36</f>
        <v>36</v>
      </c>
      <c r="BH36" s="25">
        <f>F36*AO36</f>
        <v>0</v>
      </c>
      <c r="BI36" s="25">
        <f>F36*AP36</f>
        <v>0</v>
      </c>
      <c r="BJ36" s="25">
        <f>F36*G36</f>
        <v>0</v>
      </c>
      <c r="BK36" s="25"/>
      <c r="BL36" s="25">
        <v>31</v>
      </c>
      <c r="BW36" s="25">
        <v>21</v>
      </c>
      <c r="BX36" s="5" t="s">
        <v>120</v>
      </c>
    </row>
    <row r="37" spans="1:76" ht="13.5" customHeight="1" x14ac:dyDescent="0.25">
      <c r="A37" s="28"/>
      <c r="B37" s="29" t="s">
        <v>60</v>
      </c>
      <c r="C37" s="77" t="s">
        <v>121</v>
      </c>
      <c r="D37" s="78"/>
      <c r="E37" s="78"/>
      <c r="F37" s="78"/>
      <c r="G37" s="78"/>
      <c r="H37" s="78"/>
      <c r="I37" s="78"/>
      <c r="J37" s="78"/>
      <c r="K37" s="79"/>
    </row>
    <row r="38" spans="1:76" x14ac:dyDescent="0.25">
      <c r="A38" s="2" t="s">
        <v>122</v>
      </c>
      <c r="B38" s="3" t="s">
        <v>123</v>
      </c>
      <c r="C38" s="69" t="s">
        <v>124</v>
      </c>
      <c r="D38" s="70"/>
      <c r="E38" s="3" t="s">
        <v>55</v>
      </c>
      <c r="F38" s="25">
        <v>0.39</v>
      </c>
      <c r="G38" s="25">
        <v>0</v>
      </c>
      <c r="H38" s="25">
        <f>F38*AO38</f>
        <v>0</v>
      </c>
      <c r="I38" s="25">
        <f>F38*AP38</f>
        <v>0</v>
      </c>
      <c r="J38" s="25">
        <f>F38*G38</f>
        <v>0</v>
      </c>
      <c r="K38" s="26" t="s">
        <v>56</v>
      </c>
      <c r="Z38" s="25">
        <f>IF(AQ38="5",BJ38,0)</f>
        <v>0</v>
      </c>
      <c r="AB38" s="25">
        <f>IF(AQ38="1",BH38,0)</f>
        <v>0</v>
      </c>
      <c r="AC38" s="25">
        <f>IF(AQ38="1",BI38,0)</f>
        <v>0</v>
      </c>
      <c r="AD38" s="25">
        <f>IF(AQ38="7",BH38,0)</f>
        <v>0</v>
      </c>
      <c r="AE38" s="25">
        <f>IF(AQ38="7",BI38,0)</f>
        <v>0</v>
      </c>
      <c r="AF38" s="25">
        <f>IF(AQ38="2",BH38,0)</f>
        <v>0</v>
      </c>
      <c r="AG38" s="25">
        <f>IF(AQ38="2",BI38,0)</f>
        <v>0</v>
      </c>
      <c r="AH38" s="25">
        <f>IF(AQ38="0",BJ38,0)</f>
        <v>0</v>
      </c>
      <c r="AI38" s="11" t="s">
        <v>49</v>
      </c>
      <c r="AJ38" s="25">
        <f>IF(AN38=0,J38,0)</f>
        <v>0</v>
      </c>
      <c r="AK38" s="25">
        <f>IF(AN38=12,J38,0)</f>
        <v>0</v>
      </c>
      <c r="AL38" s="25">
        <f>IF(AN38=21,J38,0)</f>
        <v>0</v>
      </c>
      <c r="AN38" s="25">
        <v>21</v>
      </c>
      <c r="AO38" s="25">
        <f>G38*0.783220896</f>
        <v>0</v>
      </c>
      <c r="AP38" s="25">
        <f>G38*(1-0.783220896)</f>
        <v>0</v>
      </c>
      <c r="AQ38" s="27" t="s">
        <v>52</v>
      </c>
      <c r="AV38" s="25">
        <f>AW38+AX38</f>
        <v>0</v>
      </c>
      <c r="AW38" s="25">
        <f>F38*AO38</f>
        <v>0</v>
      </c>
      <c r="AX38" s="25">
        <f>F38*AP38</f>
        <v>0</v>
      </c>
      <c r="AY38" s="27" t="s">
        <v>115</v>
      </c>
      <c r="AZ38" s="27" t="s">
        <v>116</v>
      </c>
      <c r="BA38" s="11" t="s">
        <v>59</v>
      </c>
      <c r="BC38" s="25">
        <f>AW38+AX38</f>
        <v>0</v>
      </c>
      <c r="BD38" s="25">
        <f>G38/(100-BE38)*100</f>
        <v>0</v>
      </c>
      <c r="BE38" s="25">
        <v>0</v>
      </c>
      <c r="BF38" s="25">
        <f>38</f>
        <v>38</v>
      </c>
      <c r="BH38" s="25">
        <f>F38*AO38</f>
        <v>0</v>
      </c>
      <c r="BI38" s="25">
        <f>F38*AP38</f>
        <v>0</v>
      </c>
      <c r="BJ38" s="25">
        <f>F38*G38</f>
        <v>0</v>
      </c>
      <c r="BK38" s="25"/>
      <c r="BL38" s="25">
        <v>31</v>
      </c>
      <c r="BW38" s="25">
        <v>21</v>
      </c>
      <c r="BX38" s="5" t="s">
        <v>124</v>
      </c>
    </row>
    <row r="39" spans="1:76" x14ac:dyDescent="0.25">
      <c r="A39" s="2" t="s">
        <v>125</v>
      </c>
      <c r="B39" s="3" t="s">
        <v>126</v>
      </c>
      <c r="C39" s="69" t="s">
        <v>127</v>
      </c>
      <c r="D39" s="70"/>
      <c r="E39" s="3" t="s">
        <v>128</v>
      </c>
      <c r="F39" s="25">
        <v>3</v>
      </c>
      <c r="G39" s="25">
        <v>0</v>
      </c>
      <c r="H39" s="25">
        <f>F39*AO39</f>
        <v>0</v>
      </c>
      <c r="I39" s="25">
        <f>F39*AP39</f>
        <v>0</v>
      </c>
      <c r="J39" s="25">
        <f>F39*G39</f>
        <v>0</v>
      </c>
      <c r="K39" s="26" t="s">
        <v>56</v>
      </c>
      <c r="Z39" s="25">
        <f>IF(AQ39="5",BJ39,0)</f>
        <v>0</v>
      </c>
      <c r="AB39" s="25">
        <f>IF(AQ39="1",BH39,0)</f>
        <v>0</v>
      </c>
      <c r="AC39" s="25">
        <f>IF(AQ39="1",BI39,0)</f>
        <v>0</v>
      </c>
      <c r="AD39" s="25">
        <f>IF(AQ39="7",BH39,0)</f>
        <v>0</v>
      </c>
      <c r="AE39" s="25">
        <f>IF(AQ39="7",BI39,0)</f>
        <v>0</v>
      </c>
      <c r="AF39" s="25">
        <f>IF(AQ39="2",BH39,0)</f>
        <v>0</v>
      </c>
      <c r="AG39" s="25">
        <f>IF(AQ39="2",BI39,0)</f>
        <v>0</v>
      </c>
      <c r="AH39" s="25">
        <f>IF(AQ39="0",BJ39,0)</f>
        <v>0</v>
      </c>
      <c r="AI39" s="11" t="s">
        <v>49</v>
      </c>
      <c r="AJ39" s="25">
        <f>IF(AN39=0,J39,0)</f>
        <v>0</v>
      </c>
      <c r="AK39" s="25">
        <f>IF(AN39=12,J39,0)</f>
        <v>0</v>
      </c>
      <c r="AL39" s="25">
        <f>IF(AN39=21,J39,0)</f>
        <v>0</v>
      </c>
      <c r="AN39" s="25">
        <v>21</v>
      </c>
      <c r="AO39" s="25">
        <f>G39*0.96036626</f>
        <v>0</v>
      </c>
      <c r="AP39" s="25">
        <f>G39*(1-0.96036626)</f>
        <v>0</v>
      </c>
      <c r="AQ39" s="27" t="s">
        <v>52</v>
      </c>
      <c r="AV39" s="25">
        <f>AW39+AX39</f>
        <v>0</v>
      </c>
      <c r="AW39" s="25">
        <f>F39*AO39</f>
        <v>0</v>
      </c>
      <c r="AX39" s="25">
        <f>F39*AP39</f>
        <v>0</v>
      </c>
      <c r="AY39" s="27" t="s">
        <v>115</v>
      </c>
      <c r="AZ39" s="27" t="s">
        <v>116</v>
      </c>
      <c r="BA39" s="11" t="s">
        <v>59</v>
      </c>
      <c r="BC39" s="25">
        <f>AW39+AX39</f>
        <v>0</v>
      </c>
      <c r="BD39" s="25">
        <f>G39/(100-BE39)*100</f>
        <v>0</v>
      </c>
      <c r="BE39" s="25">
        <v>0</v>
      </c>
      <c r="BF39" s="25">
        <f>39</f>
        <v>39</v>
      </c>
      <c r="BH39" s="25">
        <f>F39*AO39</f>
        <v>0</v>
      </c>
      <c r="BI39" s="25">
        <f>F39*AP39</f>
        <v>0</v>
      </c>
      <c r="BJ39" s="25">
        <f>F39*G39</f>
        <v>0</v>
      </c>
      <c r="BK39" s="25"/>
      <c r="BL39" s="25">
        <v>31</v>
      </c>
      <c r="BW39" s="25">
        <v>21</v>
      </c>
      <c r="BX39" s="5" t="s">
        <v>127</v>
      </c>
    </row>
    <row r="40" spans="1:76" x14ac:dyDescent="0.25">
      <c r="A40" s="30" t="s">
        <v>49</v>
      </c>
      <c r="B40" s="31" t="s">
        <v>129</v>
      </c>
      <c r="C40" s="71" t="s">
        <v>130</v>
      </c>
      <c r="D40" s="72"/>
      <c r="E40" s="32" t="s">
        <v>3</v>
      </c>
      <c r="F40" s="32" t="s">
        <v>3</v>
      </c>
      <c r="G40" s="32" t="s">
        <v>3</v>
      </c>
      <c r="H40" s="1">
        <f>SUM(H41:H47)</f>
        <v>0</v>
      </c>
      <c r="I40" s="1">
        <f>SUM(I41:I47)</f>
        <v>0</v>
      </c>
      <c r="J40" s="1">
        <f>SUM(J41:J47)</f>
        <v>0</v>
      </c>
      <c r="K40" s="33" t="s">
        <v>49</v>
      </c>
      <c r="AI40" s="11" t="s">
        <v>49</v>
      </c>
      <c r="AS40" s="1">
        <f>SUM(AJ41:AJ47)</f>
        <v>0</v>
      </c>
      <c r="AT40" s="1">
        <f>SUM(AK41:AK47)</f>
        <v>0</v>
      </c>
      <c r="AU40" s="1">
        <f>SUM(AL41:AL47)</f>
        <v>0</v>
      </c>
    </row>
    <row r="41" spans="1:76" x14ac:dyDescent="0.25">
      <c r="A41" s="2" t="s">
        <v>71</v>
      </c>
      <c r="B41" s="3" t="s">
        <v>131</v>
      </c>
      <c r="C41" s="69" t="s">
        <v>132</v>
      </c>
      <c r="D41" s="70"/>
      <c r="E41" s="3" t="s">
        <v>76</v>
      </c>
      <c r="F41" s="25">
        <v>78.403999999999996</v>
      </c>
      <c r="G41" s="25">
        <v>0</v>
      </c>
      <c r="H41" s="25">
        <f>F41*AO41</f>
        <v>0</v>
      </c>
      <c r="I41" s="25">
        <f>F41*AP41</f>
        <v>0</v>
      </c>
      <c r="J41" s="25">
        <f>F41*G41</f>
        <v>0</v>
      </c>
      <c r="K41" s="26" t="s">
        <v>56</v>
      </c>
      <c r="Z41" s="25">
        <f>IF(AQ41="5",BJ41,0)</f>
        <v>0</v>
      </c>
      <c r="AB41" s="25">
        <f>IF(AQ41="1",BH41,0)</f>
        <v>0</v>
      </c>
      <c r="AC41" s="25">
        <f>IF(AQ41="1",BI41,0)</f>
        <v>0</v>
      </c>
      <c r="AD41" s="25">
        <f>IF(AQ41="7",BH41,0)</f>
        <v>0</v>
      </c>
      <c r="AE41" s="25">
        <f>IF(AQ41="7",BI41,0)</f>
        <v>0</v>
      </c>
      <c r="AF41" s="25">
        <f>IF(AQ41="2",BH41,0)</f>
        <v>0</v>
      </c>
      <c r="AG41" s="25">
        <f>IF(AQ41="2",BI41,0)</f>
        <v>0</v>
      </c>
      <c r="AH41" s="25">
        <f>IF(AQ41="0",BJ41,0)</f>
        <v>0</v>
      </c>
      <c r="AI41" s="11" t="s">
        <v>49</v>
      </c>
      <c r="AJ41" s="25">
        <f>IF(AN41=0,J41,0)</f>
        <v>0</v>
      </c>
      <c r="AK41" s="25">
        <f>IF(AN41=12,J41,0)</f>
        <v>0</v>
      </c>
      <c r="AL41" s="25">
        <f>IF(AN41=21,J41,0)</f>
        <v>0</v>
      </c>
      <c r="AN41" s="25">
        <v>21</v>
      </c>
      <c r="AO41" s="25">
        <f>G41*0.378226085</f>
        <v>0</v>
      </c>
      <c r="AP41" s="25">
        <f>G41*(1-0.378226085)</f>
        <v>0</v>
      </c>
      <c r="AQ41" s="27" t="s">
        <v>52</v>
      </c>
      <c r="AV41" s="25">
        <f>AW41+AX41</f>
        <v>0</v>
      </c>
      <c r="AW41" s="25">
        <f>F41*AO41</f>
        <v>0</v>
      </c>
      <c r="AX41" s="25">
        <f>F41*AP41</f>
        <v>0</v>
      </c>
      <c r="AY41" s="27" t="s">
        <v>133</v>
      </c>
      <c r="AZ41" s="27" t="s">
        <v>116</v>
      </c>
      <c r="BA41" s="11" t="s">
        <v>59</v>
      </c>
      <c r="BC41" s="25">
        <f>AW41+AX41</f>
        <v>0</v>
      </c>
      <c r="BD41" s="25">
        <f>G41/(100-BE41)*100</f>
        <v>0</v>
      </c>
      <c r="BE41" s="25">
        <v>0</v>
      </c>
      <c r="BF41" s="25">
        <f>41</f>
        <v>41</v>
      </c>
      <c r="BH41" s="25">
        <f>F41*AO41</f>
        <v>0</v>
      </c>
      <c r="BI41" s="25">
        <f>F41*AP41</f>
        <v>0</v>
      </c>
      <c r="BJ41" s="25">
        <f>F41*G41</f>
        <v>0</v>
      </c>
      <c r="BK41" s="25"/>
      <c r="BL41" s="25">
        <v>34</v>
      </c>
      <c r="BW41" s="25">
        <v>21</v>
      </c>
      <c r="BX41" s="5" t="s">
        <v>132</v>
      </c>
    </row>
    <row r="42" spans="1:76" ht="13.5" customHeight="1" x14ac:dyDescent="0.25">
      <c r="A42" s="28"/>
      <c r="B42" s="29" t="s">
        <v>60</v>
      </c>
      <c r="C42" s="77" t="s">
        <v>134</v>
      </c>
      <c r="D42" s="78"/>
      <c r="E42" s="78"/>
      <c r="F42" s="78"/>
      <c r="G42" s="78"/>
      <c r="H42" s="78"/>
      <c r="I42" s="78"/>
      <c r="J42" s="78"/>
      <c r="K42" s="79"/>
    </row>
    <row r="43" spans="1:76" x14ac:dyDescent="0.25">
      <c r="A43" s="2" t="s">
        <v>135</v>
      </c>
      <c r="B43" s="3" t="s">
        <v>136</v>
      </c>
      <c r="C43" s="69" t="s">
        <v>137</v>
      </c>
      <c r="D43" s="70"/>
      <c r="E43" s="3" t="s">
        <v>76</v>
      </c>
      <c r="F43" s="25">
        <v>20.8</v>
      </c>
      <c r="G43" s="25">
        <v>0</v>
      </c>
      <c r="H43" s="25">
        <f>F43*AO43</f>
        <v>0</v>
      </c>
      <c r="I43" s="25">
        <f>F43*AP43</f>
        <v>0</v>
      </c>
      <c r="J43" s="25">
        <f>F43*G43</f>
        <v>0</v>
      </c>
      <c r="K43" s="26" t="s">
        <v>56</v>
      </c>
      <c r="Z43" s="25">
        <f>IF(AQ43="5",BJ43,0)</f>
        <v>0</v>
      </c>
      <c r="AB43" s="25">
        <f>IF(AQ43="1",BH43,0)</f>
        <v>0</v>
      </c>
      <c r="AC43" s="25">
        <f>IF(AQ43="1",BI43,0)</f>
        <v>0</v>
      </c>
      <c r="AD43" s="25">
        <f>IF(AQ43="7",BH43,0)</f>
        <v>0</v>
      </c>
      <c r="AE43" s="25">
        <f>IF(AQ43="7",BI43,0)</f>
        <v>0</v>
      </c>
      <c r="AF43" s="25">
        <f>IF(AQ43="2",BH43,0)</f>
        <v>0</v>
      </c>
      <c r="AG43" s="25">
        <f>IF(AQ43="2",BI43,0)</f>
        <v>0</v>
      </c>
      <c r="AH43" s="25">
        <f>IF(AQ43="0",BJ43,0)</f>
        <v>0</v>
      </c>
      <c r="AI43" s="11" t="s">
        <v>49</v>
      </c>
      <c r="AJ43" s="25">
        <f>IF(AN43=0,J43,0)</f>
        <v>0</v>
      </c>
      <c r="AK43" s="25">
        <f>IF(AN43=12,J43,0)</f>
        <v>0</v>
      </c>
      <c r="AL43" s="25">
        <f>IF(AN43=21,J43,0)</f>
        <v>0</v>
      </c>
      <c r="AN43" s="25">
        <v>21</v>
      </c>
      <c r="AO43" s="25">
        <f>G43*0.433780369</f>
        <v>0</v>
      </c>
      <c r="AP43" s="25">
        <f>G43*(1-0.433780369)</f>
        <v>0</v>
      </c>
      <c r="AQ43" s="27" t="s">
        <v>52</v>
      </c>
      <c r="AV43" s="25">
        <f>AW43+AX43</f>
        <v>0</v>
      </c>
      <c r="AW43" s="25">
        <f>F43*AO43</f>
        <v>0</v>
      </c>
      <c r="AX43" s="25">
        <f>F43*AP43</f>
        <v>0</v>
      </c>
      <c r="AY43" s="27" t="s">
        <v>133</v>
      </c>
      <c r="AZ43" s="27" t="s">
        <v>116</v>
      </c>
      <c r="BA43" s="11" t="s">
        <v>59</v>
      </c>
      <c r="BC43" s="25">
        <f>AW43+AX43</f>
        <v>0</v>
      </c>
      <c r="BD43" s="25">
        <f>G43/(100-BE43)*100</f>
        <v>0</v>
      </c>
      <c r="BE43" s="25">
        <v>0</v>
      </c>
      <c r="BF43" s="25">
        <f>43</f>
        <v>43</v>
      </c>
      <c r="BH43" s="25">
        <f>F43*AO43</f>
        <v>0</v>
      </c>
      <c r="BI43" s="25">
        <f>F43*AP43</f>
        <v>0</v>
      </c>
      <c r="BJ43" s="25">
        <f>F43*G43</f>
        <v>0</v>
      </c>
      <c r="BK43" s="25"/>
      <c r="BL43" s="25">
        <v>34</v>
      </c>
      <c r="BW43" s="25">
        <v>21</v>
      </c>
      <c r="BX43" s="5" t="s">
        <v>137</v>
      </c>
    </row>
    <row r="44" spans="1:76" ht="13.5" customHeight="1" x14ac:dyDescent="0.25">
      <c r="A44" s="28"/>
      <c r="B44" s="29" t="s">
        <v>60</v>
      </c>
      <c r="C44" s="77" t="s">
        <v>138</v>
      </c>
      <c r="D44" s="78"/>
      <c r="E44" s="78"/>
      <c r="F44" s="78"/>
      <c r="G44" s="78"/>
      <c r="H44" s="78"/>
      <c r="I44" s="78"/>
      <c r="J44" s="78"/>
      <c r="K44" s="79"/>
    </row>
    <row r="45" spans="1:76" x14ac:dyDescent="0.25">
      <c r="A45" s="2" t="s">
        <v>139</v>
      </c>
      <c r="B45" s="3" t="s">
        <v>140</v>
      </c>
      <c r="C45" s="69" t="s">
        <v>141</v>
      </c>
      <c r="D45" s="70"/>
      <c r="E45" s="3" t="s">
        <v>128</v>
      </c>
      <c r="F45" s="25">
        <v>2</v>
      </c>
      <c r="G45" s="25">
        <v>0</v>
      </c>
      <c r="H45" s="25">
        <f>F45*AO45</f>
        <v>0</v>
      </c>
      <c r="I45" s="25">
        <f>F45*AP45</f>
        <v>0</v>
      </c>
      <c r="J45" s="25">
        <f>F45*G45</f>
        <v>0</v>
      </c>
      <c r="K45" s="26" t="s">
        <v>56</v>
      </c>
      <c r="Z45" s="25">
        <f>IF(AQ45="5",BJ45,0)</f>
        <v>0</v>
      </c>
      <c r="AB45" s="25">
        <f>IF(AQ45="1",BH45,0)</f>
        <v>0</v>
      </c>
      <c r="AC45" s="25">
        <f>IF(AQ45="1",BI45,0)</f>
        <v>0</v>
      </c>
      <c r="AD45" s="25">
        <f>IF(AQ45="7",BH45,0)</f>
        <v>0</v>
      </c>
      <c r="AE45" s="25">
        <f>IF(AQ45="7",BI45,0)</f>
        <v>0</v>
      </c>
      <c r="AF45" s="25">
        <f>IF(AQ45="2",BH45,0)</f>
        <v>0</v>
      </c>
      <c r="AG45" s="25">
        <f>IF(AQ45="2",BI45,0)</f>
        <v>0</v>
      </c>
      <c r="AH45" s="25">
        <f>IF(AQ45="0",BJ45,0)</f>
        <v>0</v>
      </c>
      <c r="AI45" s="11" t="s">
        <v>49</v>
      </c>
      <c r="AJ45" s="25">
        <f>IF(AN45=0,J45,0)</f>
        <v>0</v>
      </c>
      <c r="AK45" s="25">
        <f>IF(AN45=12,J45,0)</f>
        <v>0</v>
      </c>
      <c r="AL45" s="25">
        <f>IF(AN45=21,J45,0)</f>
        <v>0</v>
      </c>
      <c r="AN45" s="25">
        <v>21</v>
      </c>
      <c r="AO45" s="25">
        <f>G45*0</f>
        <v>0</v>
      </c>
      <c r="AP45" s="25">
        <f>G45*(1-0)</f>
        <v>0</v>
      </c>
      <c r="AQ45" s="27" t="s">
        <v>52</v>
      </c>
      <c r="AV45" s="25">
        <f>AW45+AX45</f>
        <v>0</v>
      </c>
      <c r="AW45" s="25">
        <f>F45*AO45</f>
        <v>0</v>
      </c>
      <c r="AX45" s="25">
        <f>F45*AP45</f>
        <v>0</v>
      </c>
      <c r="AY45" s="27" t="s">
        <v>133</v>
      </c>
      <c r="AZ45" s="27" t="s">
        <v>116</v>
      </c>
      <c r="BA45" s="11" t="s">
        <v>59</v>
      </c>
      <c r="BC45" s="25">
        <f>AW45+AX45</f>
        <v>0</v>
      </c>
      <c r="BD45" s="25">
        <f>G45/(100-BE45)*100</f>
        <v>0</v>
      </c>
      <c r="BE45" s="25">
        <v>0</v>
      </c>
      <c r="BF45" s="25">
        <f>45</f>
        <v>45</v>
      </c>
      <c r="BH45" s="25">
        <f>F45*AO45</f>
        <v>0</v>
      </c>
      <c r="BI45" s="25">
        <f>F45*AP45</f>
        <v>0</v>
      </c>
      <c r="BJ45" s="25">
        <f>F45*G45</f>
        <v>0</v>
      </c>
      <c r="BK45" s="25"/>
      <c r="BL45" s="25">
        <v>34</v>
      </c>
      <c r="BW45" s="25">
        <v>21</v>
      </c>
      <c r="BX45" s="5" t="s">
        <v>141</v>
      </c>
    </row>
    <row r="46" spans="1:76" ht="13.5" customHeight="1" x14ac:dyDescent="0.25">
      <c r="A46" s="28"/>
      <c r="B46" s="29" t="s">
        <v>60</v>
      </c>
      <c r="C46" s="77" t="s">
        <v>142</v>
      </c>
      <c r="D46" s="78"/>
      <c r="E46" s="78"/>
      <c r="F46" s="78"/>
      <c r="G46" s="78"/>
      <c r="H46" s="78"/>
      <c r="I46" s="78"/>
      <c r="J46" s="78"/>
      <c r="K46" s="79"/>
    </row>
    <row r="47" spans="1:76" x14ac:dyDescent="0.25">
      <c r="A47" s="2" t="s">
        <v>143</v>
      </c>
      <c r="B47" s="3" t="s">
        <v>144</v>
      </c>
      <c r="C47" s="69" t="s">
        <v>145</v>
      </c>
      <c r="D47" s="70"/>
      <c r="E47" s="3" t="s">
        <v>76</v>
      </c>
      <c r="F47" s="25">
        <v>16.864000000000001</v>
      </c>
      <c r="G47" s="25">
        <v>0</v>
      </c>
      <c r="H47" s="25">
        <f>F47*AO47</f>
        <v>0</v>
      </c>
      <c r="I47" s="25">
        <f>F47*AP47</f>
        <v>0</v>
      </c>
      <c r="J47" s="25">
        <f>F47*G47</f>
        <v>0</v>
      </c>
      <c r="K47" s="26" t="s">
        <v>56</v>
      </c>
      <c r="Z47" s="25">
        <f>IF(AQ47="5",BJ47,0)</f>
        <v>0</v>
      </c>
      <c r="AB47" s="25">
        <f>IF(AQ47="1",BH47,0)</f>
        <v>0</v>
      </c>
      <c r="AC47" s="25">
        <f>IF(AQ47="1",BI47,0)</f>
        <v>0</v>
      </c>
      <c r="AD47" s="25">
        <f>IF(AQ47="7",BH47,0)</f>
        <v>0</v>
      </c>
      <c r="AE47" s="25">
        <f>IF(AQ47="7",BI47,0)</f>
        <v>0</v>
      </c>
      <c r="AF47" s="25">
        <f>IF(AQ47="2",BH47,0)</f>
        <v>0</v>
      </c>
      <c r="AG47" s="25">
        <f>IF(AQ47="2",BI47,0)</f>
        <v>0</v>
      </c>
      <c r="AH47" s="25">
        <f>IF(AQ47="0",BJ47,0)</f>
        <v>0</v>
      </c>
      <c r="AI47" s="11" t="s">
        <v>49</v>
      </c>
      <c r="AJ47" s="25">
        <f>IF(AN47=0,J47,0)</f>
        <v>0</v>
      </c>
      <c r="AK47" s="25">
        <f>IF(AN47=12,J47,0)</f>
        <v>0</v>
      </c>
      <c r="AL47" s="25">
        <f>IF(AN47=21,J47,0)</f>
        <v>0</v>
      </c>
      <c r="AN47" s="25">
        <v>21</v>
      </c>
      <c r="AO47" s="25">
        <f>G47*0.721167505</f>
        <v>0</v>
      </c>
      <c r="AP47" s="25">
        <f>G47*(1-0.721167505)</f>
        <v>0</v>
      </c>
      <c r="AQ47" s="27" t="s">
        <v>52</v>
      </c>
      <c r="AV47" s="25">
        <f>AW47+AX47</f>
        <v>0</v>
      </c>
      <c r="AW47" s="25">
        <f>F47*AO47</f>
        <v>0</v>
      </c>
      <c r="AX47" s="25">
        <f>F47*AP47</f>
        <v>0</v>
      </c>
      <c r="AY47" s="27" t="s">
        <v>133</v>
      </c>
      <c r="AZ47" s="27" t="s">
        <v>116</v>
      </c>
      <c r="BA47" s="11" t="s">
        <v>59</v>
      </c>
      <c r="BC47" s="25">
        <f>AW47+AX47</f>
        <v>0</v>
      </c>
      <c r="BD47" s="25">
        <f>G47/(100-BE47)*100</f>
        <v>0</v>
      </c>
      <c r="BE47" s="25">
        <v>0</v>
      </c>
      <c r="BF47" s="25">
        <f>47</f>
        <v>47</v>
      </c>
      <c r="BH47" s="25">
        <f>F47*AO47</f>
        <v>0</v>
      </c>
      <c r="BI47" s="25">
        <f>F47*AP47</f>
        <v>0</v>
      </c>
      <c r="BJ47" s="25">
        <f>F47*G47</f>
        <v>0</v>
      </c>
      <c r="BK47" s="25"/>
      <c r="BL47" s="25">
        <v>34</v>
      </c>
      <c r="BW47" s="25">
        <v>21</v>
      </c>
      <c r="BX47" s="5" t="s">
        <v>145</v>
      </c>
    </row>
    <row r="48" spans="1:76" x14ac:dyDescent="0.25">
      <c r="A48" s="30" t="s">
        <v>49</v>
      </c>
      <c r="B48" s="31" t="s">
        <v>146</v>
      </c>
      <c r="C48" s="71" t="s">
        <v>147</v>
      </c>
      <c r="D48" s="72"/>
      <c r="E48" s="32" t="s">
        <v>3</v>
      </c>
      <c r="F48" s="32" t="s">
        <v>3</v>
      </c>
      <c r="G48" s="32" t="s">
        <v>3</v>
      </c>
      <c r="H48" s="1">
        <f>SUM(H49:H49)</f>
        <v>0</v>
      </c>
      <c r="I48" s="1">
        <f>SUM(I49:I49)</f>
        <v>0</v>
      </c>
      <c r="J48" s="1">
        <f>SUM(J49:J49)</f>
        <v>0</v>
      </c>
      <c r="K48" s="33" t="s">
        <v>49</v>
      </c>
      <c r="AI48" s="11" t="s">
        <v>49</v>
      </c>
      <c r="AS48" s="1">
        <f>SUM(AJ49:AJ49)</f>
        <v>0</v>
      </c>
      <c r="AT48" s="1">
        <f>SUM(AK49:AK49)</f>
        <v>0</v>
      </c>
      <c r="AU48" s="1">
        <f>SUM(AL49:AL49)</f>
        <v>0</v>
      </c>
    </row>
    <row r="49" spans="1:76" x14ac:dyDescent="0.25">
      <c r="A49" s="2" t="s">
        <v>148</v>
      </c>
      <c r="B49" s="3" t="s">
        <v>149</v>
      </c>
      <c r="C49" s="69" t="s">
        <v>150</v>
      </c>
      <c r="D49" s="70"/>
      <c r="E49" s="3" t="s">
        <v>151</v>
      </c>
      <c r="F49" s="25">
        <v>35.64</v>
      </c>
      <c r="G49" s="25">
        <v>0</v>
      </c>
      <c r="H49" s="25">
        <f>F49*AO49</f>
        <v>0</v>
      </c>
      <c r="I49" s="25">
        <f>F49*AP49</f>
        <v>0</v>
      </c>
      <c r="J49" s="25">
        <f>F49*G49</f>
        <v>0</v>
      </c>
      <c r="K49" s="26" t="s">
        <v>56</v>
      </c>
      <c r="Z49" s="25">
        <f>IF(AQ49="5",BJ49,0)</f>
        <v>0</v>
      </c>
      <c r="AB49" s="25">
        <f>IF(AQ49="1",BH49,0)</f>
        <v>0</v>
      </c>
      <c r="AC49" s="25">
        <f>IF(AQ49="1",BI49,0)</f>
        <v>0</v>
      </c>
      <c r="AD49" s="25">
        <f>IF(AQ49="7",BH49,0)</f>
        <v>0</v>
      </c>
      <c r="AE49" s="25">
        <f>IF(AQ49="7",BI49,0)</f>
        <v>0</v>
      </c>
      <c r="AF49" s="25">
        <f>IF(AQ49="2",BH49,0)</f>
        <v>0</v>
      </c>
      <c r="AG49" s="25">
        <f>IF(AQ49="2",BI49,0)</f>
        <v>0</v>
      </c>
      <c r="AH49" s="25">
        <f>IF(AQ49="0",BJ49,0)</f>
        <v>0</v>
      </c>
      <c r="AI49" s="11" t="s">
        <v>49</v>
      </c>
      <c r="AJ49" s="25">
        <f>IF(AN49=0,J49,0)</f>
        <v>0</v>
      </c>
      <c r="AK49" s="25">
        <f>IF(AN49=12,J49,0)</f>
        <v>0</v>
      </c>
      <c r="AL49" s="25">
        <f>IF(AN49=21,J49,0)</f>
        <v>0</v>
      </c>
      <c r="AN49" s="25">
        <v>21</v>
      </c>
      <c r="AO49" s="25">
        <f>G49*0.450067184</f>
        <v>0</v>
      </c>
      <c r="AP49" s="25">
        <f>G49*(1-0.450067184)</f>
        <v>0</v>
      </c>
      <c r="AQ49" s="27" t="s">
        <v>52</v>
      </c>
      <c r="AV49" s="25">
        <f>AW49+AX49</f>
        <v>0</v>
      </c>
      <c r="AW49" s="25">
        <f>F49*AO49</f>
        <v>0</v>
      </c>
      <c r="AX49" s="25">
        <f>F49*AP49</f>
        <v>0</v>
      </c>
      <c r="AY49" s="27" t="s">
        <v>152</v>
      </c>
      <c r="AZ49" s="27" t="s">
        <v>153</v>
      </c>
      <c r="BA49" s="11" t="s">
        <v>59</v>
      </c>
      <c r="BC49" s="25">
        <f>AW49+AX49</f>
        <v>0</v>
      </c>
      <c r="BD49" s="25">
        <f>G49/(100-BE49)*100</f>
        <v>0</v>
      </c>
      <c r="BE49" s="25">
        <v>0</v>
      </c>
      <c r="BF49" s="25">
        <f>49</f>
        <v>49</v>
      </c>
      <c r="BH49" s="25">
        <f>F49*AO49</f>
        <v>0</v>
      </c>
      <c r="BI49" s="25">
        <f>F49*AP49</f>
        <v>0</v>
      </c>
      <c r="BJ49" s="25">
        <f>F49*G49</f>
        <v>0</v>
      </c>
      <c r="BK49" s="25"/>
      <c r="BL49" s="25">
        <v>41</v>
      </c>
      <c r="BW49" s="25">
        <v>21</v>
      </c>
      <c r="BX49" s="5" t="s">
        <v>150</v>
      </c>
    </row>
    <row r="50" spans="1:76" ht="13.5" customHeight="1" x14ac:dyDescent="0.25">
      <c r="A50" s="28"/>
      <c r="B50" s="29" t="s">
        <v>60</v>
      </c>
      <c r="C50" s="77" t="s">
        <v>154</v>
      </c>
      <c r="D50" s="78"/>
      <c r="E50" s="78"/>
      <c r="F50" s="78"/>
      <c r="G50" s="78"/>
      <c r="H50" s="78"/>
      <c r="I50" s="78"/>
      <c r="J50" s="78"/>
      <c r="K50" s="79"/>
    </row>
    <row r="51" spans="1:76" x14ac:dyDescent="0.25">
      <c r="A51" s="30" t="s">
        <v>49</v>
      </c>
      <c r="B51" s="31" t="s">
        <v>155</v>
      </c>
      <c r="C51" s="71" t="s">
        <v>156</v>
      </c>
      <c r="D51" s="72"/>
      <c r="E51" s="32" t="s">
        <v>3</v>
      </c>
      <c r="F51" s="32" t="s">
        <v>3</v>
      </c>
      <c r="G51" s="32" t="s">
        <v>3</v>
      </c>
      <c r="H51" s="1">
        <f>SUM(H52:H54)</f>
        <v>0</v>
      </c>
      <c r="I51" s="1">
        <f>SUM(I52:I54)</f>
        <v>0</v>
      </c>
      <c r="J51" s="1">
        <f>SUM(J52:J54)</f>
        <v>0</v>
      </c>
      <c r="K51" s="33" t="s">
        <v>49</v>
      </c>
      <c r="AI51" s="11" t="s">
        <v>49</v>
      </c>
      <c r="AS51" s="1">
        <f>SUM(AJ52:AJ54)</f>
        <v>0</v>
      </c>
      <c r="AT51" s="1">
        <f>SUM(AK52:AK54)</f>
        <v>0</v>
      </c>
      <c r="AU51" s="1">
        <f>SUM(AL52:AL54)</f>
        <v>0</v>
      </c>
    </row>
    <row r="52" spans="1:76" x14ac:dyDescent="0.25">
      <c r="A52" s="2" t="s">
        <v>157</v>
      </c>
      <c r="B52" s="3" t="s">
        <v>158</v>
      </c>
      <c r="C52" s="69" t="s">
        <v>159</v>
      </c>
      <c r="D52" s="70"/>
      <c r="E52" s="3" t="s">
        <v>76</v>
      </c>
      <c r="F52" s="25">
        <v>149.66</v>
      </c>
      <c r="G52" s="25">
        <v>0</v>
      </c>
      <c r="H52" s="25">
        <f>F52*AO52</f>
        <v>0</v>
      </c>
      <c r="I52" s="25">
        <f>F52*AP52</f>
        <v>0</v>
      </c>
      <c r="J52" s="25">
        <f>F52*G52</f>
        <v>0</v>
      </c>
      <c r="K52" s="26" t="s">
        <v>56</v>
      </c>
      <c r="Z52" s="25">
        <f>IF(AQ52="5",BJ52,0)</f>
        <v>0</v>
      </c>
      <c r="AB52" s="25">
        <f>IF(AQ52="1",BH52,0)</f>
        <v>0</v>
      </c>
      <c r="AC52" s="25">
        <f>IF(AQ52="1",BI52,0)</f>
        <v>0</v>
      </c>
      <c r="AD52" s="25">
        <f>IF(AQ52="7",BH52,0)</f>
        <v>0</v>
      </c>
      <c r="AE52" s="25">
        <f>IF(AQ52="7",BI52,0)</f>
        <v>0</v>
      </c>
      <c r="AF52" s="25">
        <f>IF(AQ52="2",BH52,0)</f>
        <v>0</v>
      </c>
      <c r="AG52" s="25">
        <f>IF(AQ52="2",BI52,0)</f>
        <v>0</v>
      </c>
      <c r="AH52" s="25">
        <f>IF(AQ52="0",BJ52,0)</f>
        <v>0</v>
      </c>
      <c r="AI52" s="11" t="s">
        <v>49</v>
      </c>
      <c r="AJ52" s="25">
        <f>IF(AN52=0,J52,0)</f>
        <v>0</v>
      </c>
      <c r="AK52" s="25">
        <f>IF(AN52=12,J52,0)</f>
        <v>0</v>
      </c>
      <c r="AL52" s="25">
        <f>IF(AN52=21,J52,0)</f>
        <v>0</v>
      </c>
      <c r="AN52" s="25">
        <v>21</v>
      </c>
      <c r="AO52" s="25">
        <f>G52*0.272640607</f>
        <v>0</v>
      </c>
      <c r="AP52" s="25">
        <f>G52*(1-0.272640607)</f>
        <v>0</v>
      </c>
      <c r="AQ52" s="27" t="s">
        <v>52</v>
      </c>
      <c r="AV52" s="25">
        <f>AW52+AX52</f>
        <v>0</v>
      </c>
      <c r="AW52" s="25">
        <f>F52*AO52</f>
        <v>0</v>
      </c>
      <c r="AX52" s="25">
        <f>F52*AP52</f>
        <v>0</v>
      </c>
      <c r="AY52" s="27" t="s">
        <v>160</v>
      </c>
      <c r="AZ52" s="27" t="s">
        <v>161</v>
      </c>
      <c r="BA52" s="11" t="s">
        <v>59</v>
      </c>
      <c r="BC52" s="25">
        <f>AW52+AX52</f>
        <v>0</v>
      </c>
      <c r="BD52" s="25">
        <f>G52/(100-BE52)*100</f>
        <v>0</v>
      </c>
      <c r="BE52" s="25">
        <v>0</v>
      </c>
      <c r="BF52" s="25">
        <f>52</f>
        <v>52</v>
      </c>
      <c r="BH52" s="25">
        <f>F52*AO52</f>
        <v>0</v>
      </c>
      <c r="BI52" s="25">
        <f>F52*AP52</f>
        <v>0</v>
      </c>
      <c r="BJ52" s="25">
        <f>F52*G52</f>
        <v>0</v>
      </c>
      <c r="BK52" s="25"/>
      <c r="BL52" s="25">
        <v>61</v>
      </c>
      <c r="BW52" s="25">
        <v>21</v>
      </c>
      <c r="BX52" s="5" t="s">
        <v>159</v>
      </c>
    </row>
    <row r="53" spans="1:76" ht="13.5" customHeight="1" x14ac:dyDescent="0.25">
      <c r="A53" s="28"/>
      <c r="B53" s="29" t="s">
        <v>60</v>
      </c>
      <c r="C53" s="77" t="s">
        <v>162</v>
      </c>
      <c r="D53" s="78"/>
      <c r="E53" s="78"/>
      <c r="F53" s="78"/>
      <c r="G53" s="78"/>
      <c r="H53" s="78"/>
      <c r="I53" s="78"/>
      <c r="J53" s="78"/>
      <c r="K53" s="79"/>
    </row>
    <row r="54" spans="1:76" x14ac:dyDescent="0.25">
      <c r="A54" s="2" t="s">
        <v>163</v>
      </c>
      <c r="B54" s="3" t="s">
        <v>164</v>
      </c>
      <c r="C54" s="69" t="s">
        <v>165</v>
      </c>
      <c r="D54" s="70"/>
      <c r="E54" s="3" t="s">
        <v>76</v>
      </c>
      <c r="F54" s="25">
        <v>149.66</v>
      </c>
      <c r="G54" s="25">
        <v>0</v>
      </c>
      <c r="H54" s="25">
        <f>F54*AO54</f>
        <v>0</v>
      </c>
      <c r="I54" s="25">
        <f>F54*AP54</f>
        <v>0</v>
      </c>
      <c r="J54" s="25">
        <f>F54*G54</f>
        <v>0</v>
      </c>
      <c r="K54" s="26" t="s">
        <v>56</v>
      </c>
      <c r="Z54" s="25">
        <f>IF(AQ54="5",BJ54,0)</f>
        <v>0</v>
      </c>
      <c r="AB54" s="25">
        <f>IF(AQ54="1",BH54,0)</f>
        <v>0</v>
      </c>
      <c r="AC54" s="25">
        <f>IF(AQ54="1",BI54,0)</f>
        <v>0</v>
      </c>
      <c r="AD54" s="25">
        <f>IF(AQ54="7",BH54,0)</f>
        <v>0</v>
      </c>
      <c r="AE54" s="25">
        <f>IF(AQ54="7",BI54,0)</f>
        <v>0</v>
      </c>
      <c r="AF54" s="25">
        <f>IF(AQ54="2",BH54,0)</f>
        <v>0</v>
      </c>
      <c r="AG54" s="25">
        <f>IF(AQ54="2",BI54,0)</f>
        <v>0</v>
      </c>
      <c r="AH54" s="25">
        <f>IF(AQ54="0",BJ54,0)</f>
        <v>0</v>
      </c>
      <c r="AI54" s="11" t="s">
        <v>49</v>
      </c>
      <c r="AJ54" s="25">
        <f>IF(AN54=0,J54,0)</f>
        <v>0</v>
      </c>
      <c r="AK54" s="25">
        <f>IF(AN54=12,J54,0)</f>
        <v>0</v>
      </c>
      <c r="AL54" s="25">
        <f>IF(AN54=21,J54,0)</f>
        <v>0</v>
      </c>
      <c r="AN54" s="25">
        <v>21</v>
      </c>
      <c r="AO54" s="25">
        <f>G54*0.222442844</f>
        <v>0</v>
      </c>
      <c r="AP54" s="25">
        <f>G54*(1-0.222442844)</f>
        <v>0</v>
      </c>
      <c r="AQ54" s="27" t="s">
        <v>52</v>
      </c>
      <c r="AV54" s="25">
        <f>AW54+AX54</f>
        <v>0</v>
      </c>
      <c r="AW54" s="25">
        <f>F54*AO54</f>
        <v>0</v>
      </c>
      <c r="AX54" s="25">
        <f>F54*AP54</f>
        <v>0</v>
      </c>
      <c r="AY54" s="27" t="s">
        <v>160</v>
      </c>
      <c r="AZ54" s="27" t="s">
        <v>161</v>
      </c>
      <c r="BA54" s="11" t="s">
        <v>59</v>
      </c>
      <c r="BC54" s="25">
        <f>AW54+AX54</f>
        <v>0</v>
      </c>
      <c r="BD54" s="25">
        <f>G54/(100-BE54)*100</f>
        <v>0</v>
      </c>
      <c r="BE54" s="25">
        <v>0</v>
      </c>
      <c r="BF54" s="25">
        <f>54</f>
        <v>54</v>
      </c>
      <c r="BH54" s="25">
        <f>F54*AO54</f>
        <v>0</v>
      </c>
      <c r="BI54" s="25">
        <f>F54*AP54</f>
        <v>0</v>
      </c>
      <c r="BJ54" s="25">
        <f>F54*G54</f>
        <v>0</v>
      </c>
      <c r="BK54" s="25"/>
      <c r="BL54" s="25">
        <v>61</v>
      </c>
      <c r="BW54" s="25">
        <v>21</v>
      </c>
      <c r="BX54" s="5" t="s">
        <v>165</v>
      </c>
    </row>
    <row r="55" spans="1:76" ht="13.5" customHeight="1" x14ac:dyDescent="0.25">
      <c r="A55" s="28"/>
      <c r="B55" s="29" t="s">
        <v>60</v>
      </c>
      <c r="C55" s="77" t="s">
        <v>166</v>
      </c>
      <c r="D55" s="78"/>
      <c r="E55" s="78"/>
      <c r="F55" s="78"/>
      <c r="G55" s="78"/>
      <c r="H55" s="78"/>
      <c r="I55" s="78"/>
      <c r="J55" s="78"/>
      <c r="K55" s="79"/>
    </row>
    <row r="56" spans="1:76" x14ac:dyDescent="0.25">
      <c r="A56" s="30" t="s">
        <v>49</v>
      </c>
      <c r="B56" s="31" t="s">
        <v>167</v>
      </c>
      <c r="C56" s="71" t="s">
        <v>168</v>
      </c>
      <c r="D56" s="72"/>
      <c r="E56" s="32" t="s">
        <v>3</v>
      </c>
      <c r="F56" s="32" t="s">
        <v>3</v>
      </c>
      <c r="G56" s="32" t="s">
        <v>3</v>
      </c>
      <c r="H56" s="1">
        <f>SUM(H57:H63)</f>
        <v>0</v>
      </c>
      <c r="I56" s="1">
        <f>SUM(I57:I63)</f>
        <v>0</v>
      </c>
      <c r="J56" s="1">
        <f>SUM(J57:J63)</f>
        <v>0</v>
      </c>
      <c r="K56" s="33" t="s">
        <v>49</v>
      </c>
      <c r="AI56" s="11" t="s">
        <v>49</v>
      </c>
      <c r="AS56" s="1">
        <f>SUM(AJ57:AJ63)</f>
        <v>0</v>
      </c>
      <c r="AT56" s="1">
        <f>SUM(AK57:AK63)</f>
        <v>0</v>
      </c>
      <c r="AU56" s="1">
        <f>SUM(AL57:AL63)</f>
        <v>0</v>
      </c>
    </row>
    <row r="57" spans="1:76" x14ac:dyDescent="0.25">
      <c r="A57" s="2" t="s">
        <v>169</v>
      </c>
      <c r="B57" s="3" t="s">
        <v>170</v>
      </c>
      <c r="C57" s="69" t="s">
        <v>171</v>
      </c>
      <c r="D57" s="70"/>
      <c r="E57" s="3" t="s">
        <v>76</v>
      </c>
      <c r="F57" s="25">
        <v>17.408999999999999</v>
      </c>
      <c r="G57" s="25">
        <v>0</v>
      </c>
      <c r="H57" s="25">
        <f>F57*AO57</f>
        <v>0</v>
      </c>
      <c r="I57" s="25">
        <f>F57*AP57</f>
        <v>0</v>
      </c>
      <c r="J57" s="25">
        <f>F57*G57</f>
        <v>0</v>
      </c>
      <c r="K57" s="26" t="s">
        <v>56</v>
      </c>
      <c r="Z57" s="25">
        <f>IF(AQ57="5",BJ57,0)</f>
        <v>0</v>
      </c>
      <c r="AB57" s="25">
        <f>IF(AQ57="1",BH57,0)</f>
        <v>0</v>
      </c>
      <c r="AC57" s="25">
        <f>IF(AQ57="1",BI57,0)</f>
        <v>0</v>
      </c>
      <c r="AD57" s="25">
        <f>IF(AQ57="7",BH57,0)</f>
        <v>0</v>
      </c>
      <c r="AE57" s="25">
        <f>IF(AQ57="7",BI57,0)</f>
        <v>0</v>
      </c>
      <c r="AF57" s="25">
        <f>IF(AQ57="2",BH57,0)</f>
        <v>0</v>
      </c>
      <c r="AG57" s="25">
        <f>IF(AQ57="2",BI57,0)</f>
        <v>0</v>
      </c>
      <c r="AH57" s="25">
        <f>IF(AQ57="0",BJ57,0)</f>
        <v>0</v>
      </c>
      <c r="AI57" s="11" t="s">
        <v>49</v>
      </c>
      <c r="AJ57" s="25">
        <f>IF(AN57=0,J57,0)</f>
        <v>0</v>
      </c>
      <c r="AK57" s="25">
        <f>IF(AN57=12,J57,0)</f>
        <v>0</v>
      </c>
      <c r="AL57" s="25">
        <f>IF(AN57=21,J57,0)</f>
        <v>0</v>
      </c>
      <c r="AN57" s="25">
        <v>21</v>
      </c>
      <c r="AO57" s="25">
        <f>G57*0.337511272</f>
        <v>0</v>
      </c>
      <c r="AP57" s="25">
        <f>G57*(1-0.337511272)</f>
        <v>0</v>
      </c>
      <c r="AQ57" s="27" t="s">
        <v>52</v>
      </c>
      <c r="AV57" s="25">
        <f>AW57+AX57</f>
        <v>0</v>
      </c>
      <c r="AW57" s="25">
        <f>F57*AO57</f>
        <v>0</v>
      </c>
      <c r="AX57" s="25">
        <f>F57*AP57</f>
        <v>0</v>
      </c>
      <c r="AY57" s="27" t="s">
        <v>172</v>
      </c>
      <c r="AZ57" s="27" t="s">
        <v>161</v>
      </c>
      <c r="BA57" s="11" t="s">
        <v>59</v>
      </c>
      <c r="BC57" s="25">
        <f>AW57+AX57</f>
        <v>0</v>
      </c>
      <c r="BD57" s="25">
        <f>G57/(100-BE57)*100</f>
        <v>0</v>
      </c>
      <c r="BE57" s="25">
        <v>0</v>
      </c>
      <c r="BF57" s="25">
        <f>57</f>
        <v>57</v>
      </c>
      <c r="BH57" s="25">
        <f>F57*AO57</f>
        <v>0</v>
      </c>
      <c r="BI57" s="25">
        <f>F57*AP57</f>
        <v>0</v>
      </c>
      <c r="BJ57" s="25">
        <f>F57*G57</f>
        <v>0</v>
      </c>
      <c r="BK57" s="25"/>
      <c r="BL57" s="25">
        <v>62</v>
      </c>
      <c r="BW57" s="25">
        <v>21</v>
      </c>
      <c r="BX57" s="5" t="s">
        <v>171</v>
      </c>
    </row>
    <row r="58" spans="1:76" ht="13.5" customHeight="1" x14ac:dyDescent="0.25">
      <c r="A58" s="28"/>
      <c r="B58" s="29" t="s">
        <v>60</v>
      </c>
      <c r="C58" s="77" t="s">
        <v>173</v>
      </c>
      <c r="D58" s="78"/>
      <c r="E58" s="78"/>
      <c r="F58" s="78"/>
      <c r="G58" s="78"/>
      <c r="H58" s="78"/>
      <c r="I58" s="78"/>
      <c r="J58" s="78"/>
      <c r="K58" s="79"/>
    </row>
    <row r="59" spans="1:76" x14ac:dyDescent="0.25">
      <c r="A59" s="2" t="s">
        <v>174</v>
      </c>
      <c r="B59" s="3" t="s">
        <v>175</v>
      </c>
      <c r="C59" s="69" t="s">
        <v>176</v>
      </c>
      <c r="D59" s="70"/>
      <c r="E59" s="3" t="s">
        <v>76</v>
      </c>
      <c r="F59" s="25">
        <v>17.408999999999999</v>
      </c>
      <c r="G59" s="25">
        <v>0</v>
      </c>
      <c r="H59" s="25">
        <f>F59*AO59</f>
        <v>0</v>
      </c>
      <c r="I59" s="25">
        <f>F59*AP59</f>
        <v>0</v>
      </c>
      <c r="J59" s="25">
        <f>F59*G59</f>
        <v>0</v>
      </c>
      <c r="K59" s="26" t="s">
        <v>56</v>
      </c>
      <c r="Z59" s="25">
        <f>IF(AQ59="5",BJ59,0)</f>
        <v>0</v>
      </c>
      <c r="AB59" s="25">
        <f>IF(AQ59="1",BH59,0)</f>
        <v>0</v>
      </c>
      <c r="AC59" s="25">
        <f>IF(AQ59="1",BI59,0)</f>
        <v>0</v>
      </c>
      <c r="AD59" s="25">
        <f>IF(AQ59="7",BH59,0)</f>
        <v>0</v>
      </c>
      <c r="AE59" s="25">
        <f>IF(AQ59="7",BI59,0)</f>
        <v>0</v>
      </c>
      <c r="AF59" s="25">
        <f>IF(AQ59="2",BH59,0)</f>
        <v>0</v>
      </c>
      <c r="AG59" s="25">
        <f>IF(AQ59="2",BI59,0)</f>
        <v>0</v>
      </c>
      <c r="AH59" s="25">
        <f>IF(AQ59="0",BJ59,0)</f>
        <v>0</v>
      </c>
      <c r="AI59" s="11" t="s">
        <v>49</v>
      </c>
      <c r="AJ59" s="25">
        <f>IF(AN59=0,J59,0)</f>
        <v>0</v>
      </c>
      <c r="AK59" s="25">
        <f>IF(AN59=12,J59,0)</f>
        <v>0</v>
      </c>
      <c r="AL59" s="25">
        <f>IF(AN59=21,J59,0)</f>
        <v>0</v>
      </c>
      <c r="AN59" s="25">
        <v>21</v>
      </c>
      <c r="AO59" s="25">
        <f>G59*0.594111684</f>
        <v>0</v>
      </c>
      <c r="AP59" s="25">
        <f>G59*(1-0.594111684)</f>
        <v>0</v>
      </c>
      <c r="AQ59" s="27" t="s">
        <v>52</v>
      </c>
      <c r="AV59" s="25">
        <f>AW59+AX59</f>
        <v>0</v>
      </c>
      <c r="AW59" s="25">
        <f>F59*AO59</f>
        <v>0</v>
      </c>
      <c r="AX59" s="25">
        <f>F59*AP59</f>
        <v>0</v>
      </c>
      <c r="AY59" s="27" t="s">
        <v>172</v>
      </c>
      <c r="AZ59" s="27" t="s">
        <v>161</v>
      </c>
      <c r="BA59" s="11" t="s">
        <v>59</v>
      </c>
      <c r="BC59" s="25">
        <f>AW59+AX59</f>
        <v>0</v>
      </c>
      <c r="BD59" s="25">
        <f>G59/(100-BE59)*100</f>
        <v>0</v>
      </c>
      <c r="BE59" s="25">
        <v>0</v>
      </c>
      <c r="BF59" s="25">
        <f>59</f>
        <v>59</v>
      </c>
      <c r="BH59" s="25">
        <f>F59*AO59</f>
        <v>0</v>
      </c>
      <c r="BI59" s="25">
        <f>F59*AP59</f>
        <v>0</v>
      </c>
      <c r="BJ59" s="25">
        <f>F59*G59</f>
        <v>0</v>
      </c>
      <c r="BK59" s="25"/>
      <c r="BL59" s="25">
        <v>62</v>
      </c>
      <c r="BW59" s="25">
        <v>21</v>
      </c>
      <c r="BX59" s="5" t="s">
        <v>176</v>
      </c>
    </row>
    <row r="60" spans="1:76" ht="13.5" customHeight="1" x14ac:dyDescent="0.25">
      <c r="A60" s="28"/>
      <c r="B60" s="29" t="s">
        <v>60</v>
      </c>
      <c r="C60" s="77" t="s">
        <v>177</v>
      </c>
      <c r="D60" s="78"/>
      <c r="E60" s="78"/>
      <c r="F60" s="78"/>
      <c r="G60" s="78"/>
      <c r="H60" s="78"/>
      <c r="I60" s="78"/>
      <c r="J60" s="78"/>
      <c r="K60" s="79"/>
    </row>
    <row r="61" spans="1:76" x14ac:dyDescent="0.25">
      <c r="A61" s="2" t="s">
        <v>79</v>
      </c>
      <c r="B61" s="3" t="s">
        <v>178</v>
      </c>
      <c r="C61" s="69" t="s">
        <v>179</v>
      </c>
      <c r="D61" s="70"/>
      <c r="E61" s="3" t="s">
        <v>76</v>
      </c>
      <c r="F61" s="25">
        <v>68.814999999999998</v>
      </c>
      <c r="G61" s="25">
        <v>0</v>
      </c>
      <c r="H61" s="25">
        <f>F61*AO61</f>
        <v>0</v>
      </c>
      <c r="I61" s="25">
        <f>F61*AP61</f>
        <v>0</v>
      </c>
      <c r="J61" s="25">
        <f>F61*G61</f>
        <v>0</v>
      </c>
      <c r="K61" s="26" t="s">
        <v>56</v>
      </c>
      <c r="Z61" s="25">
        <f>IF(AQ61="5",BJ61,0)</f>
        <v>0</v>
      </c>
      <c r="AB61" s="25">
        <f>IF(AQ61="1",BH61,0)</f>
        <v>0</v>
      </c>
      <c r="AC61" s="25">
        <f>IF(AQ61="1",BI61,0)</f>
        <v>0</v>
      </c>
      <c r="AD61" s="25">
        <f>IF(AQ61="7",BH61,0)</f>
        <v>0</v>
      </c>
      <c r="AE61" s="25">
        <f>IF(AQ61="7",BI61,0)</f>
        <v>0</v>
      </c>
      <c r="AF61" s="25">
        <f>IF(AQ61="2",BH61,0)</f>
        <v>0</v>
      </c>
      <c r="AG61" s="25">
        <f>IF(AQ61="2",BI61,0)</f>
        <v>0</v>
      </c>
      <c r="AH61" s="25">
        <f>IF(AQ61="0",BJ61,0)</f>
        <v>0</v>
      </c>
      <c r="AI61" s="11" t="s">
        <v>49</v>
      </c>
      <c r="AJ61" s="25">
        <f>IF(AN61=0,J61,0)</f>
        <v>0</v>
      </c>
      <c r="AK61" s="25">
        <f>IF(AN61=12,J61,0)</f>
        <v>0</v>
      </c>
      <c r="AL61" s="25">
        <f>IF(AN61=21,J61,0)</f>
        <v>0</v>
      </c>
      <c r="AN61" s="25">
        <v>21</v>
      </c>
      <c r="AO61" s="25">
        <f>G61*0.622122147</f>
        <v>0</v>
      </c>
      <c r="AP61" s="25">
        <f>G61*(1-0.622122147)</f>
        <v>0</v>
      </c>
      <c r="AQ61" s="27" t="s">
        <v>52</v>
      </c>
      <c r="AV61" s="25">
        <f>AW61+AX61</f>
        <v>0</v>
      </c>
      <c r="AW61" s="25">
        <f>F61*AO61</f>
        <v>0</v>
      </c>
      <c r="AX61" s="25">
        <f>F61*AP61</f>
        <v>0</v>
      </c>
      <c r="AY61" s="27" t="s">
        <v>172</v>
      </c>
      <c r="AZ61" s="27" t="s">
        <v>161</v>
      </c>
      <c r="BA61" s="11" t="s">
        <v>59</v>
      </c>
      <c r="BC61" s="25">
        <f>AW61+AX61</f>
        <v>0</v>
      </c>
      <c r="BD61" s="25">
        <f>G61/(100-BE61)*100</f>
        <v>0</v>
      </c>
      <c r="BE61" s="25">
        <v>0</v>
      </c>
      <c r="BF61" s="25">
        <f>61</f>
        <v>61</v>
      </c>
      <c r="BH61" s="25">
        <f>F61*AO61</f>
        <v>0</v>
      </c>
      <c r="BI61" s="25">
        <f>F61*AP61</f>
        <v>0</v>
      </c>
      <c r="BJ61" s="25">
        <f>F61*G61</f>
        <v>0</v>
      </c>
      <c r="BK61" s="25"/>
      <c r="BL61" s="25">
        <v>62</v>
      </c>
      <c r="BW61" s="25">
        <v>21</v>
      </c>
      <c r="BX61" s="5" t="s">
        <v>179</v>
      </c>
    </row>
    <row r="62" spans="1:76" x14ac:dyDescent="0.25">
      <c r="A62" s="2" t="s">
        <v>180</v>
      </c>
      <c r="B62" s="3" t="s">
        <v>181</v>
      </c>
      <c r="C62" s="69" t="s">
        <v>182</v>
      </c>
      <c r="D62" s="70"/>
      <c r="E62" s="3" t="s">
        <v>76</v>
      </c>
      <c r="F62" s="25">
        <v>68.814999999999998</v>
      </c>
      <c r="G62" s="25">
        <v>0</v>
      </c>
      <c r="H62" s="25">
        <f>F62*AO62</f>
        <v>0</v>
      </c>
      <c r="I62" s="25">
        <f>F62*AP62</f>
        <v>0</v>
      </c>
      <c r="J62" s="25">
        <f>F62*G62</f>
        <v>0</v>
      </c>
      <c r="K62" s="26" t="s">
        <v>56</v>
      </c>
      <c r="Z62" s="25">
        <f>IF(AQ62="5",BJ62,0)</f>
        <v>0</v>
      </c>
      <c r="AB62" s="25">
        <f>IF(AQ62="1",BH62,0)</f>
        <v>0</v>
      </c>
      <c r="AC62" s="25">
        <f>IF(AQ62="1",BI62,0)</f>
        <v>0</v>
      </c>
      <c r="AD62" s="25">
        <f>IF(AQ62="7",BH62,0)</f>
        <v>0</v>
      </c>
      <c r="AE62" s="25">
        <f>IF(AQ62="7",BI62,0)</f>
        <v>0</v>
      </c>
      <c r="AF62" s="25">
        <f>IF(AQ62="2",BH62,0)</f>
        <v>0</v>
      </c>
      <c r="AG62" s="25">
        <f>IF(AQ62="2",BI62,0)</f>
        <v>0</v>
      </c>
      <c r="AH62" s="25">
        <f>IF(AQ62="0",BJ62,0)</f>
        <v>0</v>
      </c>
      <c r="AI62" s="11" t="s">
        <v>49</v>
      </c>
      <c r="AJ62" s="25">
        <f>IF(AN62=0,J62,0)</f>
        <v>0</v>
      </c>
      <c r="AK62" s="25">
        <f>IF(AN62=12,J62,0)</f>
        <v>0</v>
      </c>
      <c r="AL62" s="25">
        <f>IF(AN62=21,J62,0)</f>
        <v>0</v>
      </c>
      <c r="AN62" s="25">
        <v>21</v>
      </c>
      <c r="AO62" s="25">
        <f>G62*0.403309622</f>
        <v>0</v>
      </c>
      <c r="AP62" s="25">
        <f>G62*(1-0.403309622)</f>
        <v>0</v>
      </c>
      <c r="AQ62" s="27" t="s">
        <v>52</v>
      </c>
      <c r="AV62" s="25">
        <f>AW62+AX62</f>
        <v>0</v>
      </c>
      <c r="AW62" s="25">
        <f>F62*AO62</f>
        <v>0</v>
      </c>
      <c r="AX62" s="25">
        <f>F62*AP62</f>
        <v>0</v>
      </c>
      <c r="AY62" s="27" t="s">
        <v>172</v>
      </c>
      <c r="AZ62" s="27" t="s">
        <v>161</v>
      </c>
      <c r="BA62" s="11" t="s">
        <v>59</v>
      </c>
      <c r="BC62" s="25">
        <f>AW62+AX62</f>
        <v>0</v>
      </c>
      <c r="BD62" s="25">
        <f>G62/(100-BE62)*100</f>
        <v>0</v>
      </c>
      <c r="BE62" s="25">
        <v>0</v>
      </c>
      <c r="BF62" s="25">
        <f>62</f>
        <v>62</v>
      </c>
      <c r="BH62" s="25">
        <f>F62*AO62</f>
        <v>0</v>
      </c>
      <c r="BI62" s="25">
        <f>F62*AP62</f>
        <v>0</v>
      </c>
      <c r="BJ62" s="25">
        <f>F62*G62</f>
        <v>0</v>
      </c>
      <c r="BK62" s="25"/>
      <c r="BL62" s="25">
        <v>62</v>
      </c>
      <c r="BW62" s="25">
        <v>21</v>
      </c>
      <c r="BX62" s="5" t="s">
        <v>182</v>
      </c>
    </row>
    <row r="63" spans="1:76" x14ac:dyDescent="0.25">
      <c r="A63" s="2" t="s">
        <v>183</v>
      </c>
      <c r="B63" s="3" t="s">
        <v>184</v>
      </c>
      <c r="C63" s="69" t="s">
        <v>185</v>
      </c>
      <c r="D63" s="70"/>
      <c r="E63" s="3" t="s">
        <v>76</v>
      </c>
      <c r="F63" s="25">
        <v>11.95</v>
      </c>
      <c r="G63" s="25">
        <v>0</v>
      </c>
      <c r="H63" s="25">
        <f>F63*AO63</f>
        <v>0</v>
      </c>
      <c r="I63" s="25">
        <f>F63*AP63</f>
        <v>0</v>
      </c>
      <c r="J63" s="25">
        <f>F63*G63</f>
        <v>0</v>
      </c>
      <c r="K63" s="26" t="s">
        <v>56</v>
      </c>
      <c r="Z63" s="25">
        <f>IF(AQ63="5",BJ63,0)</f>
        <v>0</v>
      </c>
      <c r="AB63" s="25">
        <f>IF(AQ63="1",BH63,0)</f>
        <v>0</v>
      </c>
      <c r="AC63" s="25">
        <f>IF(AQ63="1",BI63,0)</f>
        <v>0</v>
      </c>
      <c r="AD63" s="25">
        <f>IF(AQ63="7",BH63,0)</f>
        <v>0</v>
      </c>
      <c r="AE63" s="25">
        <f>IF(AQ63="7",BI63,0)</f>
        <v>0</v>
      </c>
      <c r="AF63" s="25">
        <f>IF(AQ63="2",BH63,0)</f>
        <v>0</v>
      </c>
      <c r="AG63" s="25">
        <f>IF(AQ63="2",BI63,0)</f>
        <v>0</v>
      </c>
      <c r="AH63" s="25">
        <f>IF(AQ63="0",BJ63,0)</f>
        <v>0</v>
      </c>
      <c r="AI63" s="11" t="s">
        <v>49</v>
      </c>
      <c r="AJ63" s="25">
        <f>IF(AN63=0,J63,0)</f>
        <v>0</v>
      </c>
      <c r="AK63" s="25">
        <f>IF(AN63=12,J63,0)</f>
        <v>0</v>
      </c>
      <c r="AL63" s="25">
        <f>IF(AN63=21,J63,0)</f>
        <v>0</v>
      </c>
      <c r="AN63" s="25">
        <v>21</v>
      </c>
      <c r="AO63" s="25">
        <f>G63*0.33492494</f>
        <v>0</v>
      </c>
      <c r="AP63" s="25">
        <f>G63*(1-0.33492494)</f>
        <v>0</v>
      </c>
      <c r="AQ63" s="27" t="s">
        <v>52</v>
      </c>
      <c r="AV63" s="25">
        <f>AW63+AX63</f>
        <v>0</v>
      </c>
      <c r="AW63" s="25">
        <f>F63*AO63</f>
        <v>0</v>
      </c>
      <c r="AX63" s="25">
        <f>F63*AP63</f>
        <v>0</v>
      </c>
      <c r="AY63" s="27" t="s">
        <v>172</v>
      </c>
      <c r="AZ63" s="27" t="s">
        <v>161</v>
      </c>
      <c r="BA63" s="11" t="s">
        <v>59</v>
      </c>
      <c r="BC63" s="25">
        <f>AW63+AX63</f>
        <v>0</v>
      </c>
      <c r="BD63" s="25">
        <f>G63/(100-BE63)*100</f>
        <v>0</v>
      </c>
      <c r="BE63" s="25">
        <v>0</v>
      </c>
      <c r="BF63" s="25">
        <f>63</f>
        <v>63</v>
      </c>
      <c r="BH63" s="25">
        <f>F63*AO63</f>
        <v>0</v>
      </c>
      <c r="BI63" s="25">
        <f>F63*AP63</f>
        <v>0</v>
      </c>
      <c r="BJ63" s="25">
        <f>F63*G63</f>
        <v>0</v>
      </c>
      <c r="BK63" s="25"/>
      <c r="BL63" s="25">
        <v>62</v>
      </c>
      <c r="BW63" s="25">
        <v>21</v>
      </c>
      <c r="BX63" s="5" t="s">
        <v>185</v>
      </c>
    </row>
    <row r="64" spans="1:76" x14ac:dyDescent="0.25">
      <c r="A64" s="30" t="s">
        <v>49</v>
      </c>
      <c r="B64" s="31" t="s">
        <v>186</v>
      </c>
      <c r="C64" s="71" t="s">
        <v>187</v>
      </c>
      <c r="D64" s="72"/>
      <c r="E64" s="32" t="s">
        <v>3</v>
      </c>
      <c r="F64" s="32" t="s">
        <v>3</v>
      </c>
      <c r="G64" s="32" t="s">
        <v>3</v>
      </c>
      <c r="H64" s="1">
        <f>SUM(H65:H68)</f>
        <v>0</v>
      </c>
      <c r="I64" s="1">
        <f>SUM(I65:I68)</f>
        <v>0</v>
      </c>
      <c r="J64" s="1">
        <f>SUM(J65:J68)</f>
        <v>0</v>
      </c>
      <c r="K64" s="33" t="s">
        <v>49</v>
      </c>
      <c r="AI64" s="11" t="s">
        <v>49</v>
      </c>
      <c r="AS64" s="1">
        <f>SUM(AJ65:AJ68)</f>
        <v>0</v>
      </c>
      <c r="AT64" s="1">
        <f>SUM(AK65:AK68)</f>
        <v>0</v>
      </c>
      <c r="AU64" s="1">
        <f>SUM(AL65:AL68)</f>
        <v>0</v>
      </c>
    </row>
    <row r="65" spans="1:76" x14ac:dyDescent="0.25">
      <c r="A65" s="2" t="s">
        <v>188</v>
      </c>
      <c r="B65" s="3" t="s">
        <v>189</v>
      </c>
      <c r="C65" s="69" t="s">
        <v>190</v>
      </c>
      <c r="D65" s="70"/>
      <c r="E65" s="3" t="s">
        <v>55</v>
      </c>
      <c r="F65" s="25">
        <v>6.343</v>
      </c>
      <c r="G65" s="25">
        <v>0</v>
      </c>
      <c r="H65" s="25">
        <f>F65*AO65</f>
        <v>0</v>
      </c>
      <c r="I65" s="25">
        <f>F65*AP65</f>
        <v>0</v>
      </c>
      <c r="J65" s="25">
        <f>F65*G65</f>
        <v>0</v>
      </c>
      <c r="K65" s="26" t="s">
        <v>56</v>
      </c>
      <c r="Z65" s="25">
        <f>IF(AQ65="5",BJ65,0)</f>
        <v>0</v>
      </c>
      <c r="AB65" s="25">
        <f>IF(AQ65="1",BH65,0)</f>
        <v>0</v>
      </c>
      <c r="AC65" s="25">
        <f>IF(AQ65="1",BI65,0)</f>
        <v>0</v>
      </c>
      <c r="AD65" s="25">
        <f>IF(AQ65="7",BH65,0)</f>
        <v>0</v>
      </c>
      <c r="AE65" s="25">
        <f>IF(AQ65="7",BI65,0)</f>
        <v>0</v>
      </c>
      <c r="AF65" s="25">
        <f>IF(AQ65="2",BH65,0)</f>
        <v>0</v>
      </c>
      <c r="AG65" s="25">
        <f>IF(AQ65="2",BI65,0)</f>
        <v>0</v>
      </c>
      <c r="AH65" s="25">
        <f>IF(AQ65="0",BJ65,0)</f>
        <v>0</v>
      </c>
      <c r="AI65" s="11" t="s">
        <v>49</v>
      </c>
      <c r="AJ65" s="25">
        <f>IF(AN65=0,J65,0)</f>
        <v>0</v>
      </c>
      <c r="AK65" s="25">
        <f>IF(AN65=12,J65,0)</f>
        <v>0</v>
      </c>
      <c r="AL65" s="25">
        <f>IF(AN65=21,J65,0)</f>
        <v>0</v>
      </c>
      <c r="AN65" s="25">
        <v>21</v>
      </c>
      <c r="AO65" s="25">
        <f>G65*0.732052769</f>
        <v>0</v>
      </c>
      <c r="AP65" s="25">
        <f>G65*(1-0.732052769)</f>
        <v>0</v>
      </c>
      <c r="AQ65" s="27" t="s">
        <v>52</v>
      </c>
      <c r="AV65" s="25">
        <f>AW65+AX65</f>
        <v>0</v>
      </c>
      <c r="AW65" s="25">
        <f>F65*AO65</f>
        <v>0</v>
      </c>
      <c r="AX65" s="25">
        <f>F65*AP65</f>
        <v>0</v>
      </c>
      <c r="AY65" s="27" t="s">
        <v>191</v>
      </c>
      <c r="AZ65" s="27" t="s">
        <v>161</v>
      </c>
      <c r="BA65" s="11" t="s">
        <v>59</v>
      </c>
      <c r="BC65" s="25">
        <f>AW65+AX65</f>
        <v>0</v>
      </c>
      <c r="BD65" s="25">
        <f>G65/(100-BE65)*100</f>
        <v>0</v>
      </c>
      <c r="BE65" s="25">
        <v>0</v>
      </c>
      <c r="BF65" s="25">
        <f>65</f>
        <v>65</v>
      </c>
      <c r="BH65" s="25">
        <f>F65*AO65</f>
        <v>0</v>
      </c>
      <c r="BI65" s="25">
        <f>F65*AP65</f>
        <v>0</v>
      </c>
      <c r="BJ65" s="25">
        <f>F65*G65</f>
        <v>0</v>
      </c>
      <c r="BK65" s="25"/>
      <c r="BL65" s="25">
        <v>63</v>
      </c>
      <c r="BW65" s="25">
        <v>21</v>
      </c>
      <c r="BX65" s="5" t="s">
        <v>190</v>
      </c>
    </row>
    <row r="66" spans="1:76" ht="13.5" customHeight="1" x14ac:dyDescent="0.25">
      <c r="A66" s="28"/>
      <c r="B66" s="29" t="s">
        <v>60</v>
      </c>
      <c r="C66" s="77" t="s">
        <v>192</v>
      </c>
      <c r="D66" s="78"/>
      <c r="E66" s="78"/>
      <c r="F66" s="78"/>
      <c r="G66" s="78"/>
      <c r="H66" s="78"/>
      <c r="I66" s="78"/>
      <c r="J66" s="78"/>
      <c r="K66" s="79"/>
    </row>
    <row r="67" spans="1:76" x14ac:dyDescent="0.25">
      <c r="A67" s="2" t="s">
        <v>110</v>
      </c>
      <c r="B67" s="3" t="s">
        <v>193</v>
      </c>
      <c r="C67" s="69" t="s">
        <v>194</v>
      </c>
      <c r="D67" s="70"/>
      <c r="E67" s="3" t="s">
        <v>55</v>
      </c>
      <c r="F67" s="25">
        <v>6.343</v>
      </c>
      <c r="G67" s="25">
        <v>0</v>
      </c>
      <c r="H67" s="25">
        <f>F67*AO67</f>
        <v>0</v>
      </c>
      <c r="I67" s="25">
        <f>F67*AP67</f>
        <v>0</v>
      </c>
      <c r="J67" s="25">
        <f>F67*G67</f>
        <v>0</v>
      </c>
      <c r="K67" s="26" t="s">
        <v>56</v>
      </c>
      <c r="Z67" s="25">
        <f>IF(AQ67="5",BJ67,0)</f>
        <v>0</v>
      </c>
      <c r="AB67" s="25">
        <f>IF(AQ67="1",BH67,0)</f>
        <v>0</v>
      </c>
      <c r="AC67" s="25">
        <f>IF(AQ67="1",BI67,0)</f>
        <v>0</v>
      </c>
      <c r="AD67" s="25">
        <f>IF(AQ67="7",BH67,0)</f>
        <v>0</v>
      </c>
      <c r="AE67" s="25">
        <f>IF(AQ67="7",BI67,0)</f>
        <v>0</v>
      </c>
      <c r="AF67" s="25">
        <f>IF(AQ67="2",BH67,0)</f>
        <v>0</v>
      </c>
      <c r="AG67" s="25">
        <f>IF(AQ67="2",BI67,0)</f>
        <v>0</v>
      </c>
      <c r="AH67" s="25">
        <f>IF(AQ67="0",BJ67,0)</f>
        <v>0</v>
      </c>
      <c r="AI67" s="11" t="s">
        <v>49</v>
      </c>
      <c r="AJ67" s="25">
        <f>IF(AN67=0,J67,0)</f>
        <v>0</v>
      </c>
      <c r="AK67" s="25">
        <f>IF(AN67=12,J67,0)</f>
        <v>0</v>
      </c>
      <c r="AL67" s="25">
        <f>IF(AN67=21,J67,0)</f>
        <v>0</v>
      </c>
      <c r="AN67" s="25">
        <v>21</v>
      </c>
      <c r="AO67" s="25">
        <f>G67*0</f>
        <v>0</v>
      </c>
      <c r="AP67" s="25">
        <f>G67*(1-0)</f>
        <v>0</v>
      </c>
      <c r="AQ67" s="27" t="s">
        <v>52</v>
      </c>
      <c r="AV67" s="25">
        <f>AW67+AX67</f>
        <v>0</v>
      </c>
      <c r="AW67" s="25">
        <f>F67*AO67</f>
        <v>0</v>
      </c>
      <c r="AX67" s="25">
        <f>F67*AP67</f>
        <v>0</v>
      </c>
      <c r="AY67" s="27" t="s">
        <v>191</v>
      </c>
      <c r="AZ67" s="27" t="s">
        <v>161</v>
      </c>
      <c r="BA67" s="11" t="s">
        <v>59</v>
      </c>
      <c r="BC67" s="25">
        <f>AW67+AX67</f>
        <v>0</v>
      </c>
      <c r="BD67" s="25">
        <f>G67/(100-BE67)*100</f>
        <v>0</v>
      </c>
      <c r="BE67" s="25">
        <v>0</v>
      </c>
      <c r="BF67" s="25">
        <f>67</f>
        <v>67</v>
      </c>
      <c r="BH67" s="25">
        <f>F67*AO67</f>
        <v>0</v>
      </c>
      <c r="BI67" s="25">
        <f>F67*AP67</f>
        <v>0</v>
      </c>
      <c r="BJ67" s="25">
        <f>F67*G67</f>
        <v>0</v>
      </c>
      <c r="BK67" s="25"/>
      <c r="BL67" s="25">
        <v>63</v>
      </c>
      <c r="BW67" s="25">
        <v>21</v>
      </c>
      <c r="BX67" s="5" t="s">
        <v>194</v>
      </c>
    </row>
    <row r="68" spans="1:76" x14ac:dyDescent="0.25">
      <c r="A68" s="2" t="s">
        <v>195</v>
      </c>
      <c r="B68" s="3" t="s">
        <v>196</v>
      </c>
      <c r="C68" s="69" t="s">
        <v>197</v>
      </c>
      <c r="D68" s="70"/>
      <c r="E68" s="3" t="s">
        <v>100</v>
      </c>
      <c r="F68" s="25">
        <v>0.24399999999999999</v>
      </c>
      <c r="G68" s="25">
        <v>0</v>
      </c>
      <c r="H68" s="25">
        <f>F68*AO68</f>
        <v>0</v>
      </c>
      <c r="I68" s="25">
        <f>F68*AP68</f>
        <v>0</v>
      </c>
      <c r="J68" s="25">
        <f>F68*G68</f>
        <v>0</v>
      </c>
      <c r="K68" s="26" t="s">
        <v>56</v>
      </c>
      <c r="Z68" s="25">
        <f>IF(AQ68="5",BJ68,0)</f>
        <v>0</v>
      </c>
      <c r="AB68" s="25">
        <f>IF(AQ68="1",BH68,0)</f>
        <v>0</v>
      </c>
      <c r="AC68" s="25">
        <f>IF(AQ68="1",BI68,0)</f>
        <v>0</v>
      </c>
      <c r="AD68" s="25">
        <f>IF(AQ68="7",BH68,0)</f>
        <v>0</v>
      </c>
      <c r="AE68" s="25">
        <f>IF(AQ68="7",BI68,0)</f>
        <v>0</v>
      </c>
      <c r="AF68" s="25">
        <f>IF(AQ68="2",BH68,0)</f>
        <v>0</v>
      </c>
      <c r="AG68" s="25">
        <f>IF(AQ68="2",BI68,0)</f>
        <v>0</v>
      </c>
      <c r="AH68" s="25">
        <f>IF(AQ68="0",BJ68,0)</f>
        <v>0</v>
      </c>
      <c r="AI68" s="11" t="s">
        <v>49</v>
      </c>
      <c r="AJ68" s="25">
        <f>IF(AN68=0,J68,0)</f>
        <v>0</v>
      </c>
      <c r="AK68" s="25">
        <f>IF(AN68=12,J68,0)</f>
        <v>0</v>
      </c>
      <c r="AL68" s="25">
        <f>IF(AN68=21,J68,0)</f>
        <v>0</v>
      </c>
      <c r="AN68" s="25">
        <v>21</v>
      </c>
      <c r="AO68" s="25">
        <f>G68*0.784471976</f>
        <v>0</v>
      </c>
      <c r="AP68" s="25">
        <f>G68*(1-0.784471976)</f>
        <v>0</v>
      </c>
      <c r="AQ68" s="27" t="s">
        <v>52</v>
      </c>
      <c r="AV68" s="25">
        <f>AW68+AX68</f>
        <v>0</v>
      </c>
      <c r="AW68" s="25">
        <f>F68*AO68</f>
        <v>0</v>
      </c>
      <c r="AX68" s="25">
        <f>F68*AP68</f>
        <v>0</v>
      </c>
      <c r="AY68" s="27" t="s">
        <v>191</v>
      </c>
      <c r="AZ68" s="27" t="s">
        <v>161</v>
      </c>
      <c r="BA68" s="11" t="s">
        <v>59</v>
      </c>
      <c r="BC68" s="25">
        <f>AW68+AX68</f>
        <v>0</v>
      </c>
      <c r="BD68" s="25">
        <f>G68/(100-BE68)*100</f>
        <v>0</v>
      </c>
      <c r="BE68" s="25">
        <v>0</v>
      </c>
      <c r="BF68" s="25">
        <f>68</f>
        <v>68</v>
      </c>
      <c r="BH68" s="25">
        <f>F68*AO68</f>
        <v>0</v>
      </c>
      <c r="BI68" s="25">
        <f>F68*AP68</f>
        <v>0</v>
      </c>
      <c r="BJ68" s="25">
        <f>F68*G68</f>
        <v>0</v>
      </c>
      <c r="BK68" s="25"/>
      <c r="BL68" s="25">
        <v>63</v>
      </c>
      <c r="BW68" s="25">
        <v>21</v>
      </c>
      <c r="BX68" s="5" t="s">
        <v>197</v>
      </c>
    </row>
    <row r="69" spans="1:76" ht="13.5" customHeight="1" x14ac:dyDescent="0.25">
      <c r="A69" s="28"/>
      <c r="B69" s="29" t="s">
        <v>60</v>
      </c>
      <c r="C69" s="77" t="s">
        <v>198</v>
      </c>
      <c r="D69" s="78"/>
      <c r="E69" s="78"/>
      <c r="F69" s="78"/>
      <c r="G69" s="78"/>
      <c r="H69" s="78"/>
      <c r="I69" s="78"/>
      <c r="J69" s="78"/>
      <c r="K69" s="79"/>
    </row>
    <row r="70" spans="1:76" x14ac:dyDescent="0.25">
      <c r="A70" s="30" t="s">
        <v>49</v>
      </c>
      <c r="B70" s="31" t="s">
        <v>199</v>
      </c>
      <c r="C70" s="71" t="s">
        <v>200</v>
      </c>
      <c r="D70" s="72"/>
      <c r="E70" s="32" t="s">
        <v>3</v>
      </c>
      <c r="F70" s="32" t="s">
        <v>3</v>
      </c>
      <c r="G70" s="32" t="s">
        <v>3</v>
      </c>
      <c r="H70" s="1">
        <f>SUM(H71:H73)</f>
        <v>0</v>
      </c>
      <c r="I70" s="1">
        <f>SUM(I71:I73)</f>
        <v>0</v>
      </c>
      <c r="J70" s="1">
        <f>SUM(J71:J73)</f>
        <v>0</v>
      </c>
      <c r="K70" s="33" t="s">
        <v>49</v>
      </c>
      <c r="AI70" s="11" t="s">
        <v>49</v>
      </c>
      <c r="AS70" s="1">
        <f>SUM(AJ71:AJ73)</f>
        <v>0</v>
      </c>
      <c r="AT70" s="1">
        <f>SUM(AK71:AK73)</f>
        <v>0</v>
      </c>
      <c r="AU70" s="1">
        <f>SUM(AL71:AL73)</f>
        <v>0</v>
      </c>
    </row>
    <row r="71" spans="1:76" x14ac:dyDescent="0.25">
      <c r="A71" s="2" t="s">
        <v>201</v>
      </c>
      <c r="B71" s="3" t="s">
        <v>202</v>
      </c>
      <c r="C71" s="69" t="s">
        <v>203</v>
      </c>
      <c r="D71" s="70"/>
      <c r="E71" s="3" t="s">
        <v>76</v>
      </c>
      <c r="F71" s="25">
        <v>4.1630000000000003</v>
      </c>
      <c r="G71" s="25">
        <v>0</v>
      </c>
      <c r="H71" s="25">
        <f>F71*AO71</f>
        <v>0</v>
      </c>
      <c r="I71" s="25">
        <f>F71*AP71</f>
        <v>0</v>
      </c>
      <c r="J71" s="25">
        <f>F71*G71</f>
        <v>0</v>
      </c>
      <c r="K71" s="26" t="s">
        <v>56</v>
      </c>
      <c r="Z71" s="25">
        <f>IF(AQ71="5",BJ71,0)</f>
        <v>0</v>
      </c>
      <c r="AB71" s="25">
        <f>IF(AQ71="1",BH71,0)</f>
        <v>0</v>
      </c>
      <c r="AC71" s="25">
        <f>IF(AQ71="1",BI71,0)</f>
        <v>0</v>
      </c>
      <c r="AD71" s="25">
        <f>IF(AQ71="7",BH71,0)</f>
        <v>0</v>
      </c>
      <c r="AE71" s="25">
        <f>IF(AQ71="7",BI71,0)</f>
        <v>0</v>
      </c>
      <c r="AF71" s="25">
        <f>IF(AQ71="2",BH71,0)</f>
        <v>0</v>
      </c>
      <c r="AG71" s="25">
        <f>IF(AQ71="2",BI71,0)</f>
        <v>0</v>
      </c>
      <c r="AH71" s="25">
        <f>IF(AQ71="0",BJ71,0)</f>
        <v>0</v>
      </c>
      <c r="AI71" s="11" t="s">
        <v>49</v>
      </c>
      <c r="AJ71" s="25">
        <f>IF(AN71=0,J71,0)</f>
        <v>0</v>
      </c>
      <c r="AK71" s="25">
        <f>IF(AN71=12,J71,0)</f>
        <v>0</v>
      </c>
      <c r="AL71" s="25">
        <f>IF(AN71=21,J71,0)</f>
        <v>0</v>
      </c>
      <c r="AN71" s="25">
        <v>21</v>
      </c>
      <c r="AO71" s="25">
        <f>G71*0.570444675</f>
        <v>0</v>
      </c>
      <c r="AP71" s="25">
        <f>G71*(1-0.570444675)</f>
        <v>0</v>
      </c>
      <c r="AQ71" s="27" t="s">
        <v>52</v>
      </c>
      <c r="AV71" s="25">
        <f>AW71+AX71</f>
        <v>0</v>
      </c>
      <c r="AW71" s="25">
        <f>F71*AO71</f>
        <v>0</v>
      </c>
      <c r="AX71" s="25">
        <f>F71*AP71</f>
        <v>0</v>
      </c>
      <c r="AY71" s="27" t="s">
        <v>204</v>
      </c>
      <c r="AZ71" s="27" t="s">
        <v>205</v>
      </c>
      <c r="BA71" s="11" t="s">
        <v>59</v>
      </c>
      <c r="BC71" s="25">
        <f>AW71+AX71</f>
        <v>0</v>
      </c>
      <c r="BD71" s="25">
        <f>G71/(100-BE71)*100</f>
        <v>0</v>
      </c>
      <c r="BE71" s="25">
        <v>0</v>
      </c>
      <c r="BF71" s="25">
        <f>71</f>
        <v>71</v>
      </c>
      <c r="BH71" s="25">
        <f>F71*AO71</f>
        <v>0</v>
      </c>
      <c r="BI71" s="25">
        <f>F71*AP71</f>
        <v>0</v>
      </c>
      <c r="BJ71" s="25">
        <f>F71*G71</f>
        <v>0</v>
      </c>
      <c r="BK71" s="25"/>
      <c r="BL71" s="25">
        <v>93</v>
      </c>
      <c r="BW71" s="25">
        <v>21</v>
      </c>
      <c r="BX71" s="5" t="s">
        <v>203</v>
      </c>
    </row>
    <row r="72" spans="1:76" ht="13.5" customHeight="1" x14ac:dyDescent="0.25">
      <c r="A72" s="28"/>
      <c r="B72" s="29" t="s">
        <v>60</v>
      </c>
      <c r="C72" s="77" t="s">
        <v>206</v>
      </c>
      <c r="D72" s="78"/>
      <c r="E72" s="78"/>
      <c r="F72" s="78"/>
      <c r="G72" s="78"/>
      <c r="H72" s="78"/>
      <c r="I72" s="78"/>
      <c r="J72" s="78"/>
      <c r="K72" s="79"/>
    </row>
    <row r="73" spans="1:76" x14ac:dyDescent="0.25">
      <c r="A73" s="2" t="s">
        <v>129</v>
      </c>
      <c r="B73" s="3" t="s">
        <v>207</v>
      </c>
      <c r="C73" s="69" t="s">
        <v>208</v>
      </c>
      <c r="D73" s="70"/>
      <c r="E73" s="3" t="s">
        <v>76</v>
      </c>
      <c r="F73" s="25">
        <v>0</v>
      </c>
      <c r="G73" s="25">
        <v>0</v>
      </c>
      <c r="H73" s="25">
        <f>F73*AO73</f>
        <v>0</v>
      </c>
      <c r="I73" s="25">
        <f>F73*AP73</f>
        <v>0</v>
      </c>
      <c r="J73" s="25">
        <f>F73*G73</f>
        <v>0</v>
      </c>
      <c r="K73" s="26" t="s">
        <v>56</v>
      </c>
      <c r="Z73" s="25">
        <f>IF(AQ73="5",BJ73,0)</f>
        <v>0</v>
      </c>
      <c r="AB73" s="25">
        <f>IF(AQ73="1",BH73,0)</f>
        <v>0</v>
      </c>
      <c r="AC73" s="25">
        <f>IF(AQ73="1",BI73,0)</f>
        <v>0</v>
      </c>
      <c r="AD73" s="25">
        <f>IF(AQ73="7",BH73,0)</f>
        <v>0</v>
      </c>
      <c r="AE73" s="25">
        <f>IF(AQ73="7",BI73,0)</f>
        <v>0</v>
      </c>
      <c r="AF73" s="25">
        <f>IF(AQ73="2",BH73,0)</f>
        <v>0</v>
      </c>
      <c r="AG73" s="25">
        <f>IF(AQ73="2",BI73,0)</f>
        <v>0</v>
      </c>
      <c r="AH73" s="25">
        <f>IF(AQ73="0",BJ73,0)</f>
        <v>0</v>
      </c>
      <c r="AI73" s="11" t="s">
        <v>49</v>
      </c>
      <c r="AJ73" s="25">
        <f>IF(AN73=0,J73,0)</f>
        <v>0</v>
      </c>
      <c r="AK73" s="25">
        <f>IF(AN73=12,J73,0)</f>
        <v>0</v>
      </c>
      <c r="AL73" s="25">
        <f>IF(AN73=21,J73,0)</f>
        <v>0</v>
      </c>
      <c r="AN73" s="25">
        <v>21</v>
      </c>
      <c r="AO73" s="25">
        <f>G73*0</f>
        <v>0</v>
      </c>
      <c r="AP73" s="25">
        <f>G73*(1-0)</f>
        <v>0</v>
      </c>
      <c r="AQ73" s="27" t="s">
        <v>52</v>
      </c>
      <c r="AV73" s="25">
        <f>AW73+AX73</f>
        <v>0</v>
      </c>
      <c r="AW73" s="25">
        <f>F73*AO73</f>
        <v>0</v>
      </c>
      <c r="AX73" s="25">
        <f>F73*AP73</f>
        <v>0</v>
      </c>
      <c r="AY73" s="27" t="s">
        <v>204</v>
      </c>
      <c r="AZ73" s="27" t="s">
        <v>205</v>
      </c>
      <c r="BA73" s="11" t="s">
        <v>59</v>
      </c>
      <c r="BC73" s="25">
        <f>AW73+AX73</f>
        <v>0</v>
      </c>
      <c r="BD73" s="25">
        <f>G73/(100-BE73)*100</f>
        <v>0</v>
      </c>
      <c r="BE73" s="25">
        <v>0</v>
      </c>
      <c r="BF73" s="25">
        <f>73</f>
        <v>73</v>
      </c>
      <c r="BH73" s="25">
        <f>F73*AO73</f>
        <v>0</v>
      </c>
      <c r="BI73" s="25">
        <f>F73*AP73</f>
        <v>0</v>
      </c>
      <c r="BJ73" s="25">
        <f>F73*G73</f>
        <v>0</v>
      </c>
      <c r="BK73" s="25"/>
      <c r="BL73" s="25">
        <v>93</v>
      </c>
      <c r="BW73" s="25">
        <v>21</v>
      </c>
      <c r="BX73" s="5" t="s">
        <v>208</v>
      </c>
    </row>
    <row r="74" spans="1:76" ht="13.5" customHeight="1" x14ac:dyDescent="0.25">
      <c r="A74" s="28"/>
      <c r="B74" s="29" t="s">
        <v>60</v>
      </c>
      <c r="C74" s="77" t="s">
        <v>209</v>
      </c>
      <c r="D74" s="78"/>
      <c r="E74" s="78"/>
      <c r="F74" s="78"/>
      <c r="G74" s="78"/>
      <c r="H74" s="78"/>
      <c r="I74" s="78"/>
      <c r="J74" s="78"/>
      <c r="K74" s="79"/>
    </row>
    <row r="75" spans="1:76" x14ac:dyDescent="0.25">
      <c r="A75" s="30" t="s">
        <v>49</v>
      </c>
      <c r="B75" s="31" t="s">
        <v>210</v>
      </c>
      <c r="C75" s="71" t="s">
        <v>211</v>
      </c>
      <c r="D75" s="72"/>
      <c r="E75" s="32" t="s">
        <v>3</v>
      </c>
      <c r="F75" s="32" t="s">
        <v>3</v>
      </c>
      <c r="G75" s="32" t="s">
        <v>3</v>
      </c>
      <c r="H75" s="1">
        <f>SUM(H76:H78)</f>
        <v>0</v>
      </c>
      <c r="I75" s="1">
        <f>SUM(I76:I78)</f>
        <v>0</v>
      </c>
      <c r="J75" s="1">
        <f>SUM(J76:J78)</f>
        <v>0</v>
      </c>
      <c r="K75" s="33" t="s">
        <v>49</v>
      </c>
      <c r="AI75" s="11" t="s">
        <v>49</v>
      </c>
      <c r="AS75" s="1">
        <f>SUM(AJ76:AJ78)</f>
        <v>0</v>
      </c>
      <c r="AT75" s="1">
        <f>SUM(AK76:AK78)</f>
        <v>0</v>
      </c>
      <c r="AU75" s="1">
        <f>SUM(AL76:AL78)</f>
        <v>0</v>
      </c>
    </row>
    <row r="76" spans="1:76" x14ac:dyDescent="0.25">
      <c r="A76" s="2" t="s">
        <v>212</v>
      </c>
      <c r="B76" s="3" t="s">
        <v>213</v>
      </c>
      <c r="C76" s="69" t="s">
        <v>214</v>
      </c>
      <c r="D76" s="70"/>
      <c r="E76" s="3" t="s">
        <v>76</v>
      </c>
      <c r="F76" s="25">
        <v>104</v>
      </c>
      <c r="G76" s="25">
        <v>0</v>
      </c>
      <c r="H76" s="25">
        <f>F76*AO76</f>
        <v>0</v>
      </c>
      <c r="I76" s="25">
        <f>F76*AP76</f>
        <v>0</v>
      </c>
      <c r="J76" s="25">
        <f>F76*G76</f>
        <v>0</v>
      </c>
      <c r="K76" s="26" t="s">
        <v>56</v>
      </c>
      <c r="Z76" s="25">
        <f>IF(AQ76="5",BJ76,0)</f>
        <v>0</v>
      </c>
      <c r="AB76" s="25">
        <f>IF(AQ76="1",BH76,0)</f>
        <v>0</v>
      </c>
      <c r="AC76" s="25">
        <f>IF(AQ76="1",BI76,0)</f>
        <v>0</v>
      </c>
      <c r="AD76" s="25">
        <f>IF(AQ76="7",BH76,0)</f>
        <v>0</v>
      </c>
      <c r="AE76" s="25">
        <f>IF(AQ76="7",BI76,0)</f>
        <v>0</v>
      </c>
      <c r="AF76" s="25">
        <f>IF(AQ76="2",BH76,0)</f>
        <v>0</v>
      </c>
      <c r="AG76" s="25">
        <f>IF(AQ76="2",BI76,0)</f>
        <v>0</v>
      </c>
      <c r="AH76" s="25">
        <f>IF(AQ76="0",BJ76,0)</f>
        <v>0</v>
      </c>
      <c r="AI76" s="11" t="s">
        <v>49</v>
      </c>
      <c r="AJ76" s="25">
        <f>IF(AN76=0,J76,0)</f>
        <v>0</v>
      </c>
      <c r="AK76" s="25">
        <f>IF(AN76=12,J76,0)</f>
        <v>0</v>
      </c>
      <c r="AL76" s="25">
        <f>IF(AN76=21,J76,0)</f>
        <v>0</v>
      </c>
      <c r="AN76" s="25">
        <v>21</v>
      </c>
      <c r="AO76" s="25">
        <f>G76*0.000107917</f>
        <v>0</v>
      </c>
      <c r="AP76" s="25">
        <f>G76*(1-0.000107917)</f>
        <v>0</v>
      </c>
      <c r="AQ76" s="27" t="s">
        <v>52</v>
      </c>
      <c r="AV76" s="25">
        <f>AW76+AX76</f>
        <v>0</v>
      </c>
      <c r="AW76" s="25">
        <f>F76*AO76</f>
        <v>0</v>
      </c>
      <c r="AX76" s="25">
        <f>F76*AP76</f>
        <v>0</v>
      </c>
      <c r="AY76" s="27" t="s">
        <v>215</v>
      </c>
      <c r="AZ76" s="27" t="s">
        <v>205</v>
      </c>
      <c r="BA76" s="11" t="s">
        <v>59</v>
      </c>
      <c r="BC76" s="25">
        <f>AW76+AX76</f>
        <v>0</v>
      </c>
      <c r="BD76" s="25">
        <f>G76/(100-BE76)*100</f>
        <v>0</v>
      </c>
      <c r="BE76" s="25">
        <v>0</v>
      </c>
      <c r="BF76" s="25">
        <f>76</f>
        <v>76</v>
      </c>
      <c r="BH76" s="25">
        <f>F76*AO76</f>
        <v>0</v>
      </c>
      <c r="BI76" s="25">
        <f>F76*AP76</f>
        <v>0</v>
      </c>
      <c r="BJ76" s="25">
        <f>F76*G76</f>
        <v>0</v>
      </c>
      <c r="BK76" s="25"/>
      <c r="BL76" s="25">
        <v>94</v>
      </c>
      <c r="BW76" s="25">
        <v>21</v>
      </c>
      <c r="BX76" s="5" t="s">
        <v>214</v>
      </c>
    </row>
    <row r="77" spans="1:76" ht="13.5" customHeight="1" x14ac:dyDescent="0.25">
      <c r="A77" s="28"/>
      <c r="B77" s="29" t="s">
        <v>60</v>
      </c>
      <c r="C77" s="77" t="s">
        <v>216</v>
      </c>
      <c r="D77" s="78"/>
      <c r="E77" s="78"/>
      <c r="F77" s="78"/>
      <c r="G77" s="78"/>
      <c r="H77" s="78"/>
      <c r="I77" s="78"/>
      <c r="J77" s="78"/>
      <c r="K77" s="79"/>
    </row>
    <row r="78" spans="1:76" x14ac:dyDescent="0.25">
      <c r="A78" s="2" t="s">
        <v>217</v>
      </c>
      <c r="B78" s="3" t="s">
        <v>218</v>
      </c>
      <c r="C78" s="69" t="s">
        <v>219</v>
      </c>
      <c r="D78" s="70"/>
      <c r="E78" s="3" t="s">
        <v>76</v>
      </c>
      <c r="F78" s="25">
        <v>70</v>
      </c>
      <c r="G78" s="25">
        <v>0</v>
      </c>
      <c r="H78" s="25">
        <f>F78*AO78</f>
        <v>0</v>
      </c>
      <c r="I78" s="25">
        <f>F78*AP78</f>
        <v>0</v>
      </c>
      <c r="J78" s="25">
        <f>F78*G78</f>
        <v>0</v>
      </c>
      <c r="K78" s="26" t="s">
        <v>56</v>
      </c>
      <c r="Z78" s="25">
        <f>IF(AQ78="5",BJ78,0)</f>
        <v>0</v>
      </c>
      <c r="AB78" s="25">
        <f>IF(AQ78="1",BH78,0)</f>
        <v>0</v>
      </c>
      <c r="AC78" s="25">
        <f>IF(AQ78="1",BI78,0)</f>
        <v>0</v>
      </c>
      <c r="AD78" s="25">
        <f>IF(AQ78="7",BH78,0)</f>
        <v>0</v>
      </c>
      <c r="AE78" s="25">
        <f>IF(AQ78="7",BI78,0)</f>
        <v>0</v>
      </c>
      <c r="AF78" s="25">
        <f>IF(AQ78="2",BH78,0)</f>
        <v>0</v>
      </c>
      <c r="AG78" s="25">
        <f>IF(AQ78="2",BI78,0)</f>
        <v>0</v>
      </c>
      <c r="AH78" s="25">
        <f>IF(AQ78="0",BJ78,0)</f>
        <v>0</v>
      </c>
      <c r="AI78" s="11" t="s">
        <v>49</v>
      </c>
      <c r="AJ78" s="25">
        <f>IF(AN78=0,J78,0)</f>
        <v>0</v>
      </c>
      <c r="AK78" s="25">
        <f>IF(AN78=12,J78,0)</f>
        <v>0</v>
      </c>
      <c r="AL78" s="25">
        <f>IF(AN78=21,J78,0)</f>
        <v>0</v>
      </c>
      <c r="AN78" s="25">
        <v>21</v>
      </c>
      <c r="AO78" s="25">
        <f>G78*0.406703297</f>
        <v>0</v>
      </c>
      <c r="AP78" s="25">
        <f>G78*(1-0.406703297)</f>
        <v>0</v>
      </c>
      <c r="AQ78" s="27" t="s">
        <v>52</v>
      </c>
      <c r="AV78" s="25">
        <f>AW78+AX78</f>
        <v>0</v>
      </c>
      <c r="AW78" s="25">
        <f>F78*AO78</f>
        <v>0</v>
      </c>
      <c r="AX78" s="25">
        <f>F78*AP78</f>
        <v>0</v>
      </c>
      <c r="AY78" s="27" t="s">
        <v>215</v>
      </c>
      <c r="AZ78" s="27" t="s">
        <v>205</v>
      </c>
      <c r="BA78" s="11" t="s">
        <v>59</v>
      </c>
      <c r="BC78" s="25">
        <f>AW78+AX78</f>
        <v>0</v>
      </c>
      <c r="BD78" s="25">
        <f>G78/(100-BE78)*100</f>
        <v>0</v>
      </c>
      <c r="BE78" s="25">
        <v>0</v>
      </c>
      <c r="BF78" s="25">
        <f>78</f>
        <v>78</v>
      </c>
      <c r="BH78" s="25">
        <f>F78*AO78</f>
        <v>0</v>
      </c>
      <c r="BI78" s="25">
        <f>F78*AP78</f>
        <v>0</v>
      </c>
      <c r="BJ78" s="25">
        <f>F78*G78</f>
        <v>0</v>
      </c>
      <c r="BK78" s="25"/>
      <c r="BL78" s="25">
        <v>94</v>
      </c>
      <c r="BW78" s="25">
        <v>21</v>
      </c>
      <c r="BX78" s="5" t="s">
        <v>219</v>
      </c>
    </row>
    <row r="79" spans="1:76" x14ac:dyDescent="0.25">
      <c r="A79" s="30" t="s">
        <v>49</v>
      </c>
      <c r="B79" s="31" t="s">
        <v>220</v>
      </c>
      <c r="C79" s="71" t="s">
        <v>221</v>
      </c>
      <c r="D79" s="72"/>
      <c r="E79" s="32" t="s">
        <v>3</v>
      </c>
      <c r="F79" s="32" t="s">
        <v>3</v>
      </c>
      <c r="G79" s="32" t="s">
        <v>3</v>
      </c>
      <c r="H79" s="1">
        <f>SUM(H80:H80)</f>
        <v>0</v>
      </c>
      <c r="I79" s="1">
        <f>SUM(I80:I80)</f>
        <v>0</v>
      </c>
      <c r="J79" s="1">
        <f>SUM(J80:J80)</f>
        <v>0</v>
      </c>
      <c r="K79" s="33" t="s">
        <v>49</v>
      </c>
      <c r="AI79" s="11" t="s">
        <v>49</v>
      </c>
      <c r="AS79" s="1">
        <f>SUM(AJ80:AJ80)</f>
        <v>0</v>
      </c>
      <c r="AT79" s="1">
        <f>SUM(AK80:AK80)</f>
        <v>0</v>
      </c>
      <c r="AU79" s="1">
        <f>SUM(AL80:AL80)</f>
        <v>0</v>
      </c>
    </row>
    <row r="80" spans="1:76" x14ac:dyDescent="0.25">
      <c r="A80" s="2" t="s">
        <v>222</v>
      </c>
      <c r="B80" s="3" t="s">
        <v>223</v>
      </c>
      <c r="C80" s="69" t="s">
        <v>224</v>
      </c>
      <c r="D80" s="70"/>
      <c r="E80" s="3" t="s">
        <v>76</v>
      </c>
      <c r="F80" s="25">
        <v>70.400000000000006</v>
      </c>
      <c r="G80" s="25">
        <v>0</v>
      </c>
      <c r="H80" s="25">
        <f>F80*AO80</f>
        <v>0</v>
      </c>
      <c r="I80" s="25">
        <f>F80*AP80</f>
        <v>0</v>
      </c>
      <c r="J80" s="25">
        <f>F80*G80</f>
        <v>0</v>
      </c>
      <c r="K80" s="26" t="s">
        <v>56</v>
      </c>
      <c r="Z80" s="25">
        <f>IF(AQ80="5",BJ80,0)</f>
        <v>0</v>
      </c>
      <c r="AB80" s="25">
        <f>IF(AQ80="1",BH80,0)</f>
        <v>0</v>
      </c>
      <c r="AC80" s="25">
        <f>IF(AQ80="1",BI80,0)</f>
        <v>0</v>
      </c>
      <c r="AD80" s="25">
        <f>IF(AQ80="7",BH80,0)</f>
        <v>0</v>
      </c>
      <c r="AE80" s="25">
        <f>IF(AQ80="7",BI80,0)</f>
        <v>0</v>
      </c>
      <c r="AF80" s="25">
        <f>IF(AQ80="2",BH80,0)</f>
        <v>0</v>
      </c>
      <c r="AG80" s="25">
        <f>IF(AQ80="2",BI80,0)</f>
        <v>0</v>
      </c>
      <c r="AH80" s="25">
        <f>IF(AQ80="0",BJ80,0)</f>
        <v>0</v>
      </c>
      <c r="AI80" s="11" t="s">
        <v>49</v>
      </c>
      <c r="AJ80" s="25">
        <f>IF(AN80=0,J80,0)</f>
        <v>0</v>
      </c>
      <c r="AK80" s="25">
        <f>IF(AN80=12,J80,0)</f>
        <v>0</v>
      </c>
      <c r="AL80" s="25">
        <f>IF(AN80=21,J80,0)</f>
        <v>0</v>
      </c>
      <c r="AN80" s="25">
        <v>21</v>
      </c>
      <c r="AO80" s="25">
        <f>G80*0.016056338</f>
        <v>0</v>
      </c>
      <c r="AP80" s="25">
        <f>G80*(1-0.016056338)</f>
        <v>0</v>
      </c>
      <c r="AQ80" s="27" t="s">
        <v>52</v>
      </c>
      <c r="AV80" s="25">
        <f>AW80+AX80</f>
        <v>0</v>
      </c>
      <c r="AW80" s="25">
        <f>F80*AO80</f>
        <v>0</v>
      </c>
      <c r="AX80" s="25">
        <f>F80*AP80</f>
        <v>0</v>
      </c>
      <c r="AY80" s="27" t="s">
        <v>225</v>
      </c>
      <c r="AZ80" s="27" t="s">
        <v>205</v>
      </c>
      <c r="BA80" s="11" t="s">
        <v>59</v>
      </c>
      <c r="BC80" s="25">
        <f>AW80+AX80</f>
        <v>0</v>
      </c>
      <c r="BD80" s="25">
        <f>G80/(100-BE80)*100</f>
        <v>0</v>
      </c>
      <c r="BE80" s="25">
        <v>0</v>
      </c>
      <c r="BF80" s="25">
        <f>80</f>
        <v>80</v>
      </c>
      <c r="BH80" s="25">
        <f>F80*AO80</f>
        <v>0</v>
      </c>
      <c r="BI80" s="25">
        <f>F80*AP80</f>
        <v>0</v>
      </c>
      <c r="BJ80" s="25">
        <f>F80*G80</f>
        <v>0</v>
      </c>
      <c r="BK80" s="25"/>
      <c r="BL80" s="25">
        <v>95</v>
      </c>
      <c r="BW80" s="25">
        <v>21</v>
      </c>
      <c r="BX80" s="5" t="s">
        <v>224</v>
      </c>
    </row>
    <row r="81" spans="1:76" x14ac:dyDescent="0.25">
      <c r="A81" s="30" t="s">
        <v>49</v>
      </c>
      <c r="B81" s="31" t="s">
        <v>226</v>
      </c>
      <c r="C81" s="71" t="s">
        <v>227</v>
      </c>
      <c r="D81" s="72"/>
      <c r="E81" s="32" t="s">
        <v>3</v>
      </c>
      <c r="F81" s="32" t="s">
        <v>3</v>
      </c>
      <c r="G81" s="32" t="s">
        <v>3</v>
      </c>
      <c r="H81" s="1">
        <f>SUM(H82:H82)</f>
        <v>0</v>
      </c>
      <c r="I81" s="1">
        <f>SUM(I82:I82)</f>
        <v>0</v>
      </c>
      <c r="J81" s="1">
        <f>SUM(J82:J82)</f>
        <v>0</v>
      </c>
      <c r="K81" s="33" t="s">
        <v>49</v>
      </c>
      <c r="AI81" s="11" t="s">
        <v>49</v>
      </c>
      <c r="AS81" s="1">
        <f>SUM(AJ82:AJ82)</f>
        <v>0</v>
      </c>
      <c r="AT81" s="1">
        <f>SUM(AK82:AK82)</f>
        <v>0</v>
      </c>
      <c r="AU81" s="1">
        <f>SUM(AL82:AL82)</f>
        <v>0</v>
      </c>
    </row>
    <row r="82" spans="1:76" x14ac:dyDescent="0.25">
      <c r="A82" s="2" t="s">
        <v>228</v>
      </c>
      <c r="B82" s="3" t="s">
        <v>229</v>
      </c>
      <c r="C82" s="69" t="s">
        <v>230</v>
      </c>
      <c r="D82" s="70"/>
      <c r="E82" s="3" t="s">
        <v>100</v>
      </c>
      <c r="F82" s="25">
        <v>136.08000000000001</v>
      </c>
      <c r="G82" s="25">
        <v>0</v>
      </c>
      <c r="H82" s="25">
        <f>F82*AO82</f>
        <v>0</v>
      </c>
      <c r="I82" s="25">
        <f>F82*AP82</f>
        <v>0</v>
      </c>
      <c r="J82" s="25">
        <f>F82*G82</f>
        <v>0</v>
      </c>
      <c r="K82" s="26" t="s">
        <v>56</v>
      </c>
      <c r="Z82" s="25">
        <f>IF(AQ82="5",BJ82,0)</f>
        <v>0</v>
      </c>
      <c r="AB82" s="25">
        <f>IF(AQ82="1",BH82,0)</f>
        <v>0</v>
      </c>
      <c r="AC82" s="25">
        <f>IF(AQ82="1",BI82,0)</f>
        <v>0</v>
      </c>
      <c r="AD82" s="25">
        <f>IF(AQ82="7",BH82,0)</f>
        <v>0</v>
      </c>
      <c r="AE82" s="25">
        <f>IF(AQ82="7",BI82,0)</f>
        <v>0</v>
      </c>
      <c r="AF82" s="25">
        <f>IF(AQ82="2",BH82,0)</f>
        <v>0</v>
      </c>
      <c r="AG82" s="25">
        <f>IF(AQ82="2",BI82,0)</f>
        <v>0</v>
      </c>
      <c r="AH82" s="25">
        <f>IF(AQ82="0",BJ82,0)</f>
        <v>0</v>
      </c>
      <c r="AI82" s="11" t="s">
        <v>49</v>
      </c>
      <c r="AJ82" s="25">
        <f>IF(AN82=0,J82,0)</f>
        <v>0</v>
      </c>
      <c r="AK82" s="25">
        <f>IF(AN82=12,J82,0)</f>
        <v>0</v>
      </c>
      <c r="AL82" s="25">
        <f>IF(AN82=21,J82,0)</f>
        <v>0</v>
      </c>
      <c r="AN82" s="25">
        <v>21</v>
      </c>
      <c r="AO82" s="25">
        <f>G82*0</f>
        <v>0</v>
      </c>
      <c r="AP82" s="25">
        <f>G82*(1-0)</f>
        <v>0</v>
      </c>
      <c r="AQ82" s="27" t="s">
        <v>73</v>
      </c>
      <c r="AV82" s="25">
        <f>AW82+AX82</f>
        <v>0</v>
      </c>
      <c r="AW82" s="25">
        <f>F82*AO82</f>
        <v>0</v>
      </c>
      <c r="AX82" s="25">
        <f>F82*AP82</f>
        <v>0</v>
      </c>
      <c r="AY82" s="27" t="s">
        <v>231</v>
      </c>
      <c r="AZ82" s="27" t="s">
        <v>205</v>
      </c>
      <c r="BA82" s="11" t="s">
        <v>59</v>
      </c>
      <c r="BC82" s="25">
        <f>AW82+AX82</f>
        <v>0</v>
      </c>
      <c r="BD82" s="25">
        <f>G82/(100-BE82)*100</f>
        <v>0</v>
      </c>
      <c r="BE82" s="25">
        <v>0</v>
      </c>
      <c r="BF82" s="25">
        <f>82</f>
        <v>82</v>
      </c>
      <c r="BH82" s="25">
        <f>F82*AO82</f>
        <v>0</v>
      </c>
      <c r="BI82" s="25">
        <f>F82*AP82</f>
        <v>0</v>
      </c>
      <c r="BJ82" s="25">
        <f>F82*G82</f>
        <v>0</v>
      </c>
      <c r="BK82" s="25"/>
      <c r="BL82" s="25"/>
      <c r="BW82" s="25">
        <v>21</v>
      </c>
      <c r="BX82" s="5" t="s">
        <v>230</v>
      </c>
    </row>
    <row r="83" spans="1:76" x14ac:dyDescent="0.25">
      <c r="A83" s="30" t="s">
        <v>49</v>
      </c>
      <c r="B83" s="31" t="s">
        <v>232</v>
      </c>
      <c r="C83" s="71" t="s">
        <v>233</v>
      </c>
      <c r="D83" s="72"/>
      <c r="E83" s="32" t="s">
        <v>3</v>
      </c>
      <c r="F83" s="32" t="s">
        <v>3</v>
      </c>
      <c r="G83" s="32" t="s">
        <v>3</v>
      </c>
      <c r="H83" s="1">
        <f>SUM(H84:H93)</f>
        <v>0</v>
      </c>
      <c r="I83" s="1">
        <f>SUM(I84:I93)</f>
        <v>0</v>
      </c>
      <c r="J83" s="1">
        <f>SUM(J84:J93)</f>
        <v>0</v>
      </c>
      <c r="K83" s="33" t="s">
        <v>49</v>
      </c>
      <c r="AI83" s="11" t="s">
        <v>49</v>
      </c>
      <c r="AS83" s="1">
        <f>SUM(AJ84:AJ93)</f>
        <v>0</v>
      </c>
      <c r="AT83" s="1">
        <f>SUM(AK84:AK93)</f>
        <v>0</v>
      </c>
      <c r="AU83" s="1">
        <f>SUM(AL84:AL93)</f>
        <v>0</v>
      </c>
    </row>
    <row r="84" spans="1:76" x14ac:dyDescent="0.25">
      <c r="A84" s="2" t="s">
        <v>234</v>
      </c>
      <c r="B84" s="3" t="s">
        <v>235</v>
      </c>
      <c r="C84" s="69" t="s">
        <v>236</v>
      </c>
      <c r="D84" s="70"/>
      <c r="E84" s="3" t="s">
        <v>76</v>
      </c>
      <c r="F84" s="25">
        <v>4.95</v>
      </c>
      <c r="G84" s="25">
        <v>0</v>
      </c>
      <c r="H84" s="25">
        <f>F84*AO84</f>
        <v>0</v>
      </c>
      <c r="I84" s="25">
        <f>F84*AP84</f>
        <v>0</v>
      </c>
      <c r="J84" s="25">
        <f>F84*G84</f>
        <v>0</v>
      </c>
      <c r="K84" s="26" t="s">
        <v>56</v>
      </c>
      <c r="Z84" s="25">
        <f>IF(AQ84="5",BJ84,0)</f>
        <v>0</v>
      </c>
      <c r="AB84" s="25">
        <f>IF(AQ84="1",BH84,0)</f>
        <v>0</v>
      </c>
      <c r="AC84" s="25">
        <f>IF(AQ84="1",BI84,0)</f>
        <v>0</v>
      </c>
      <c r="AD84" s="25">
        <f>IF(AQ84="7",BH84,0)</f>
        <v>0</v>
      </c>
      <c r="AE84" s="25">
        <f>IF(AQ84="7",BI84,0)</f>
        <v>0</v>
      </c>
      <c r="AF84" s="25">
        <f>IF(AQ84="2",BH84,0)</f>
        <v>0</v>
      </c>
      <c r="AG84" s="25">
        <f>IF(AQ84="2",BI84,0)</f>
        <v>0</v>
      </c>
      <c r="AH84" s="25">
        <f>IF(AQ84="0",BJ84,0)</f>
        <v>0</v>
      </c>
      <c r="AI84" s="11" t="s">
        <v>49</v>
      </c>
      <c r="AJ84" s="25">
        <f>IF(AN84=0,J84,0)</f>
        <v>0</v>
      </c>
      <c r="AK84" s="25">
        <f>IF(AN84=12,J84,0)</f>
        <v>0</v>
      </c>
      <c r="AL84" s="25">
        <f>IF(AN84=21,J84,0)</f>
        <v>0</v>
      </c>
      <c r="AN84" s="25">
        <v>21</v>
      </c>
      <c r="AO84" s="25">
        <f>G84*0.124534</f>
        <v>0</v>
      </c>
      <c r="AP84" s="25">
        <f>G84*(1-0.124534)</f>
        <v>0</v>
      </c>
      <c r="AQ84" s="27" t="s">
        <v>52</v>
      </c>
      <c r="AV84" s="25">
        <f>AW84+AX84</f>
        <v>0</v>
      </c>
      <c r="AW84" s="25">
        <f>F84*AO84</f>
        <v>0</v>
      </c>
      <c r="AX84" s="25">
        <f>F84*AP84</f>
        <v>0</v>
      </c>
      <c r="AY84" s="27" t="s">
        <v>237</v>
      </c>
      <c r="AZ84" s="27" t="s">
        <v>205</v>
      </c>
      <c r="BA84" s="11" t="s">
        <v>59</v>
      </c>
      <c r="BC84" s="25">
        <f>AW84+AX84</f>
        <v>0</v>
      </c>
      <c r="BD84" s="25">
        <f>G84/(100-BE84)*100</f>
        <v>0</v>
      </c>
      <c r="BE84" s="25">
        <v>0</v>
      </c>
      <c r="BF84" s="25">
        <f>84</f>
        <v>84</v>
      </c>
      <c r="BH84" s="25">
        <f>F84*AO84</f>
        <v>0</v>
      </c>
      <c r="BI84" s="25">
        <f>F84*AP84</f>
        <v>0</v>
      </c>
      <c r="BJ84" s="25">
        <f>F84*G84</f>
        <v>0</v>
      </c>
      <c r="BK84" s="25"/>
      <c r="BL84" s="25">
        <v>96</v>
      </c>
      <c r="BW84" s="25">
        <v>21</v>
      </c>
      <c r="BX84" s="5" t="s">
        <v>236</v>
      </c>
    </row>
    <row r="85" spans="1:76" x14ac:dyDescent="0.25">
      <c r="A85" s="2" t="s">
        <v>238</v>
      </c>
      <c r="B85" s="3" t="s">
        <v>239</v>
      </c>
      <c r="C85" s="69" t="s">
        <v>240</v>
      </c>
      <c r="D85" s="70"/>
      <c r="E85" s="3" t="s">
        <v>76</v>
      </c>
      <c r="F85" s="25">
        <v>11.4</v>
      </c>
      <c r="G85" s="25">
        <v>0</v>
      </c>
      <c r="H85" s="25">
        <f>F85*AO85</f>
        <v>0</v>
      </c>
      <c r="I85" s="25">
        <f>F85*AP85</f>
        <v>0</v>
      </c>
      <c r="J85" s="25">
        <f>F85*G85</f>
        <v>0</v>
      </c>
      <c r="K85" s="26" t="s">
        <v>56</v>
      </c>
      <c r="Z85" s="25">
        <f>IF(AQ85="5",BJ85,0)</f>
        <v>0</v>
      </c>
      <c r="AB85" s="25">
        <f>IF(AQ85="1",BH85,0)</f>
        <v>0</v>
      </c>
      <c r="AC85" s="25">
        <f>IF(AQ85="1",BI85,0)</f>
        <v>0</v>
      </c>
      <c r="AD85" s="25">
        <f>IF(AQ85="7",BH85,0)</f>
        <v>0</v>
      </c>
      <c r="AE85" s="25">
        <f>IF(AQ85="7",BI85,0)</f>
        <v>0</v>
      </c>
      <c r="AF85" s="25">
        <f>IF(AQ85="2",BH85,0)</f>
        <v>0</v>
      </c>
      <c r="AG85" s="25">
        <f>IF(AQ85="2",BI85,0)</f>
        <v>0</v>
      </c>
      <c r="AH85" s="25">
        <f>IF(AQ85="0",BJ85,0)</f>
        <v>0</v>
      </c>
      <c r="AI85" s="11" t="s">
        <v>49</v>
      </c>
      <c r="AJ85" s="25">
        <f>IF(AN85=0,J85,0)</f>
        <v>0</v>
      </c>
      <c r="AK85" s="25">
        <f>IF(AN85=12,J85,0)</f>
        <v>0</v>
      </c>
      <c r="AL85" s="25">
        <f>IF(AN85=21,J85,0)</f>
        <v>0</v>
      </c>
      <c r="AN85" s="25">
        <v>21</v>
      </c>
      <c r="AO85" s="25">
        <f>G85*0.092351275</f>
        <v>0</v>
      </c>
      <c r="AP85" s="25">
        <f>G85*(1-0.092351275)</f>
        <v>0</v>
      </c>
      <c r="AQ85" s="27" t="s">
        <v>52</v>
      </c>
      <c r="AV85" s="25">
        <f>AW85+AX85</f>
        <v>0</v>
      </c>
      <c r="AW85" s="25">
        <f>F85*AO85</f>
        <v>0</v>
      </c>
      <c r="AX85" s="25">
        <f>F85*AP85</f>
        <v>0</v>
      </c>
      <c r="AY85" s="27" t="s">
        <v>237</v>
      </c>
      <c r="AZ85" s="27" t="s">
        <v>205</v>
      </c>
      <c r="BA85" s="11" t="s">
        <v>59</v>
      </c>
      <c r="BC85" s="25">
        <f>AW85+AX85</f>
        <v>0</v>
      </c>
      <c r="BD85" s="25">
        <f>G85/(100-BE85)*100</f>
        <v>0</v>
      </c>
      <c r="BE85" s="25">
        <v>0</v>
      </c>
      <c r="BF85" s="25">
        <f>85</f>
        <v>85</v>
      </c>
      <c r="BH85" s="25">
        <f>F85*AO85</f>
        <v>0</v>
      </c>
      <c r="BI85" s="25">
        <f>F85*AP85</f>
        <v>0</v>
      </c>
      <c r="BJ85" s="25">
        <f>F85*G85</f>
        <v>0</v>
      </c>
      <c r="BK85" s="25"/>
      <c r="BL85" s="25">
        <v>96</v>
      </c>
      <c r="BW85" s="25">
        <v>21</v>
      </c>
      <c r="BX85" s="5" t="s">
        <v>240</v>
      </c>
    </row>
    <row r="86" spans="1:76" x14ac:dyDescent="0.25">
      <c r="A86" s="2" t="s">
        <v>146</v>
      </c>
      <c r="B86" s="3" t="s">
        <v>241</v>
      </c>
      <c r="C86" s="69" t="s">
        <v>242</v>
      </c>
      <c r="D86" s="70"/>
      <c r="E86" s="3" t="s">
        <v>151</v>
      </c>
      <c r="F86" s="25">
        <v>22.1</v>
      </c>
      <c r="G86" s="25">
        <v>0</v>
      </c>
      <c r="H86" s="25">
        <f>F86*AO86</f>
        <v>0</v>
      </c>
      <c r="I86" s="25">
        <f>F86*AP86</f>
        <v>0</v>
      </c>
      <c r="J86" s="25">
        <f>F86*G86</f>
        <v>0</v>
      </c>
      <c r="K86" s="26" t="s">
        <v>56</v>
      </c>
      <c r="Z86" s="25">
        <f>IF(AQ86="5",BJ86,0)</f>
        <v>0</v>
      </c>
      <c r="AB86" s="25">
        <f>IF(AQ86="1",BH86,0)</f>
        <v>0</v>
      </c>
      <c r="AC86" s="25">
        <f>IF(AQ86="1",BI86,0)</f>
        <v>0</v>
      </c>
      <c r="AD86" s="25">
        <f>IF(AQ86="7",BH86,0)</f>
        <v>0</v>
      </c>
      <c r="AE86" s="25">
        <f>IF(AQ86="7",BI86,0)</f>
        <v>0</v>
      </c>
      <c r="AF86" s="25">
        <f>IF(AQ86="2",BH86,0)</f>
        <v>0</v>
      </c>
      <c r="AG86" s="25">
        <f>IF(AQ86="2",BI86,0)</f>
        <v>0</v>
      </c>
      <c r="AH86" s="25">
        <f>IF(AQ86="0",BJ86,0)</f>
        <v>0</v>
      </c>
      <c r="AI86" s="11" t="s">
        <v>49</v>
      </c>
      <c r="AJ86" s="25">
        <f>IF(AN86=0,J86,0)</f>
        <v>0</v>
      </c>
      <c r="AK86" s="25">
        <f>IF(AN86=12,J86,0)</f>
        <v>0</v>
      </c>
      <c r="AL86" s="25">
        <f>IF(AN86=21,J86,0)</f>
        <v>0</v>
      </c>
      <c r="AN86" s="25">
        <v>21</v>
      </c>
      <c r="AO86" s="25">
        <f>G86*0</f>
        <v>0</v>
      </c>
      <c r="AP86" s="25">
        <f>G86*(1-0)</f>
        <v>0</v>
      </c>
      <c r="AQ86" s="27" t="s">
        <v>52</v>
      </c>
      <c r="AV86" s="25">
        <f>AW86+AX86</f>
        <v>0</v>
      </c>
      <c r="AW86" s="25">
        <f>F86*AO86</f>
        <v>0</v>
      </c>
      <c r="AX86" s="25">
        <f>F86*AP86</f>
        <v>0</v>
      </c>
      <c r="AY86" s="27" t="s">
        <v>237</v>
      </c>
      <c r="AZ86" s="27" t="s">
        <v>205</v>
      </c>
      <c r="BA86" s="11" t="s">
        <v>59</v>
      </c>
      <c r="BC86" s="25">
        <f>AW86+AX86</f>
        <v>0</v>
      </c>
      <c r="BD86" s="25">
        <f>G86/(100-BE86)*100</f>
        <v>0</v>
      </c>
      <c r="BE86" s="25">
        <v>0</v>
      </c>
      <c r="BF86" s="25">
        <f>86</f>
        <v>86</v>
      </c>
      <c r="BH86" s="25">
        <f>F86*AO86</f>
        <v>0</v>
      </c>
      <c r="BI86" s="25">
        <f>F86*AP86</f>
        <v>0</v>
      </c>
      <c r="BJ86" s="25">
        <f>F86*G86</f>
        <v>0</v>
      </c>
      <c r="BK86" s="25"/>
      <c r="BL86" s="25">
        <v>96</v>
      </c>
      <c r="BW86" s="25">
        <v>21</v>
      </c>
      <c r="BX86" s="5" t="s">
        <v>242</v>
      </c>
    </row>
    <row r="87" spans="1:76" ht="13.5" customHeight="1" x14ac:dyDescent="0.25">
      <c r="A87" s="28"/>
      <c r="B87" s="29" t="s">
        <v>60</v>
      </c>
      <c r="C87" s="77" t="s">
        <v>243</v>
      </c>
      <c r="D87" s="78"/>
      <c r="E87" s="78"/>
      <c r="F87" s="78"/>
      <c r="G87" s="78"/>
      <c r="H87" s="78"/>
      <c r="I87" s="78"/>
      <c r="J87" s="78"/>
      <c r="K87" s="79"/>
    </row>
    <row r="88" spans="1:76" x14ac:dyDescent="0.25">
      <c r="A88" s="2" t="s">
        <v>244</v>
      </c>
      <c r="B88" s="3" t="s">
        <v>245</v>
      </c>
      <c r="C88" s="69" t="s">
        <v>246</v>
      </c>
      <c r="D88" s="70"/>
      <c r="E88" s="3" t="s">
        <v>151</v>
      </c>
      <c r="F88" s="25">
        <v>5.65</v>
      </c>
      <c r="G88" s="25">
        <v>0</v>
      </c>
      <c r="H88" s="25">
        <f>F88*AO88</f>
        <v>0</v>
      </c>
      <c r="I88" s="25">
        <f>F88*AP88</f>
        <v>0</v>
      </c>
      <c r="J88" s="25">
        <f>F88*G88</f>
        <v>0</v>
      </c>
      <c r="K88" s="26" t="s">
        <v>56</v>
      </c>
      <c r="Z88" s="25">
        <f>IF(AQ88="5",BJ88,0)</f>
        <v>0</v>
      </c>
      <c r="AB88" s="25">
        <f>IF(AQ88="1",BH88,0)</f>
        <v>0</v>
      </c>
      <c r="AC88" s="25">
        <f>IF(AQ88="1",BI88,0)</f>
        <v>0</v>
      </c>
      <c r="AD88" s="25">
        <f>IF(AQ88="7",BH88,0)</f>
        <v>0</v>
      </c>
      <c r="AE88" s="25">
        <f>IF(AQ88="7",BI88,0)</f>
        <v>0</v>
      </c>
      <c r="AF88" s="25">
        <f>IF(AQ88="2",BH88,0)</f>
        <v>0</v>
      </c>
      <c r="AG88" s="25">
        <f>IF(AQ88="2",BI88,0)</f>
        <v>0</v>
      </c>
      <c r="AH88" s="25">
        <f>IF(AQ88="0",BJ88,0)</f>
        <v>0</v>
      </c>
      <c r="AI88" s="11" t="s">
        <v>49</v>
      </c>
      <c r="AJ88" s="25">
        <f>IF(AN88=0,J88,0)</f>
        <v>0</v>
      </c>
      <c r="AK88" s="25">
        <f>IF(AN88=12,J88,0)</f>
        <v>0</v>
      </c>
      <c r="AL88" s="25">
        <f>IF(AN88=21,J88,0)</f>
        <v>0</v>
      </c>
      <c r="AN88" s="25">
        <v>21</v>
      </c>
      <c r="AO88" s="25">
        <f>G88*0</f>
        <v>0</v>
      </c>
      <c r="AP88" s="25">
        <f>G88*(1-0)</f>
        <v>0</v>
      </c>
      <c r="AQ88" s="27" t="s">
        <v>52</v>
      </c>
      <c r="AV88" s="25">
        <f>AW88+AX88</f>
        <v>0</v>
      </c>
      <c r="AW88" s="25">
        <f>F88*AO88</f>
        <v>0</v>
      </c>
      <c r="AX88" s="25">
        <f>F88*AP88</f>
        <v>0</v>
      </c>
      <c r="AY88" s="27" t="s">
        <v>237</v>
      </c>
      <c r="AZ88" s="27" t="s">
        <v>205</v>
      </c>
      <c r="BA88" s="11" t="s">
        <v>59</v>
      </c>
      <c r="BC88" s="25">
        <f>AW88+AX88</f>
        <v>0</v>
      </c>
      <c r="BD88" s="25">
        <f>G88/(100-BE88)*100</f>
        <v>0</v>
      </c>
      <c r="BE88" s="25">
        <v>0</v>
      </c>
      <c r="BF88" s="25">
        <f>88</f>
        <v>88</v>
      </c>
      <c r="BH88" s="25">
        <f>F88*AO88</f>
        <v>0</v>
      </c>
      <c r="BI88" s="25">
        <f>F88*AP88</f>
        <v>0</v>
      </c>
      <c r="BJ88" s="25">
        <f>F88*G88</f>
        <v>0</v>
      </c>
      <c r="BK88" s="25"/>
      <c r="BL88" s="25">
        <v>96</v>
      </c>
      <c r="BW88" s="25">
        <v>21</v>
      </c>
      <c r="BX88" s="5" t="s">
        <v>246</v>
      </c>
    </row>
    <row r="89" spans="1:76" ht="13.5" customHeight="1" x14ac:dyDescent="0.25">
      <c r="A89" s="28"/>
      <c r="B89" s="29" t="s">
        <v>60</v>
      </c>
      <c r="C89" s="77" t="s">
        <v>243</v>
      </c>
      <c r="D89" s="78"/>
      <c r="E89" s="78"/>
      <c r="F89" s="78"/>
      <c r="G89" s="78"/>
      <c r="H89" s="78"/>
      <c r="I89" s="78"/>
      <c r="J89" s="78"/>
      <c r="K89" s="79"/>
    </row>
    <row r="90" spans="1:76" x14ac:dyDescent="0.25">
      <c r="A90" s="2" t="s">
        <v>247</v>
      </c>
      <c r="B90" s="3" t="s">
        <v>248</v>
      </c>
      <c r="C90" s="69" t="s">
        <v>249</v>
      </c>
      <c r="D90" s="70"/>
      <c r="E90" s="3" t="s">
        <v>128</v>
      </c>
      <c r="F90" s="25">
        <v>2</v>
      </c>
      <c r="G90" s="25">
        <v>0</v>
      </c>
      <c r="H90" s="25">
        <f>F90*AO90</f>
        <v>0</v>
      </c>
      <c r="I90" s="25">
        <f>F90*AP90</f>
        <v>0</v>
      </c>
      <c r="J90" s="25">
        <f>F90*G90</f>
        <v>0</v>
      </c>
      <c r="K90" s="26" t="s">
        <v>56</v>
      </c>
      <c r="Z90" s="25">
        <f>IF(AQ90="5",BJ90,0)</f>
        <v>0</v>
      </c>
      <c r="AB90" s="25">
        <f>IF(AQ90="1",BH90,0)</f>
        <v>0</v>
      </c>
      <c r="AC90" s="25">
        <f>IF(AQ90="1",BI90,0)</f>
        <v>0</v>
      </c>
      <c r="AD90" s="25">
        <f>IF(AQ90="7",BH90,0)</f>
        <v>0</v>
      </c>
      <c r="AE90" s="25">
        <f>IF(AQ90="7",BI90,0)</f>
        <v>0</v>
      </c>
      <c r="AF90" s="25">
        <f>IF(AQ90="2",BH90,0)</f>
        <v>0</v>
      </c>
      <c r="AG90" s="25">
        <f>IF(AQ90="2",BI90,0)</f>
        <v>0</v>
      </c>
      <c r="AH90" s="25">
        <f>IF(AQ90="0",BJ90,0)</f>
        <v>0</v>
      </c>
      <c r="AI90" s="11" t="s">
        <v>49</v>
      </c>
      <c r="AJ90" s="25">
        <f>IF(AN90=0,J90,0)</f>
        <v>0</v>
      </c>
      <c r="AK90" s="25">
        <f>IF(AN90=12,J90,0)</f>
        <v>0</v>
      </c>
      <c r="AL90" s="25">
        <f>IF(AN90=21,J90,0)</f>
        <v>0</v>
      </c>
      <c r="AN90" s="25">
        <v>21</v>
      </c>
      <c r="AO90" s="25">
        <f>G90*0</f>
        <v>0</v>
      </c>
      <c r="AP90" s="25">
        <f>G90*(1-0)</f>
        <v>0</v>
      </c>
      <c r="AQ90" s="27" t="s">
        <v>52</v>
      </c>
      <c r="AV90" s="25">
        <f>AW90+AX90</f>
        <v>0</v>
      </c>
      <c r="AW90" s="25">
        <f>F90*AO90</f>
        <v>0</v>
      </c>
      <c r="AX90" s="25">
        <f>F90*AP90</f>
        <v>0</v>
      </c>
      <c r="AY90" s="27" t="s">
        <v>237</v>
      </c>
      <c r="AZ90" s="27" t="s">
        <v>205</v>
      </c>
      <c r="BA90" s="11" t="s">
        <v>59</v>
      </c>
      <c r="BC90" s="25">
        <f>AW90+AX90</f>
        <v>0</v>
      </c>
      <c r="BD90" s="25">
        <f>G90/(100-BE90)*100</f>
        <v>0</v>
      </c>
      <c r="BE90" s="25">
        <v>0</v>
      </c>
      <c r="BF90" s="25">
        <f>90</f>
        <v>90</v>
      </c>
      <c r="BH90" s="25">
        <f>F90*AO90</f>
        <v>0</v>
      </c>
      <c r="BI90" s="25">
        <f>F90*AP90</f>
        <v>0</v>
      </c>
      <c r="BJ90" s="25">
        <f>F90*G90</f>
        <v>0</v>
      </c>
      <c r="BK90" s="25"/>
      <c r="BL90" s="25">
        <v>96</v>
      </c>
      <c r="BW90" s="25">
        <v>21</v>
      </c>
      <c r="BX90" s="5" t="s">
        <v>249</v>
      </c>
    </row>
    <row r="91" spans="1:76" x14ac:dyDescent="0.25">
      <c r="A91" s="2" t="s">
        <v>250</v>
      </c>
      <c r="B91" s="3" t="s">
        <v>251</v>
      </c>
      <c r="C91" s="69" t="s">
        <v>252</v>
      </c>
      <c r="D91" s="70"/>
      <c r="E91" s="3" t="s">
        <v>76</v>
      </c>
      <c r="F91" s="25">
        <v>88.736000000000004</v>
      </c>
      <c r="G91" s="25">
        <v>0</v>
      </c>
      <c r="H91" s="25">
        <f>F91*AO91</f>
        <v>0</v>
      </c>
      <c r="I91" s="25">
        <f>F91*AP91</f>
        <v>0</v>
      </c>
      <c r="J91" s="25">
        <f>F91*G91</f>
        <v>0</v>
      </c>
      <c r="K91" s="26" t="s">
        <v>56</v>
      </c>
      <c r="Z91" s="25">
        <f>IF(AQ91="5",BJ91,0)</f>
        <v>0</v>
      </c>
      <c r="AB91" s="25">
        <f>IF(AQ91="1",BH91,0)</f>
        <v>0</v>
      </c>
      <c r="AC91" s="25">
        <f>IF(AQ91="1",BI91,0)</f>
        <v>0</v>
      </c>
      <c r="AD91" s="25">
        <f>IF(AQ91="7",BH91,0)</f>
        <v>0</v>
      </c>
      <c r="AE91" s="25">
        <f>IF(AQ91="7",BI91,0)</f>
        <v>0</v>
      </c>
      <c r="AF91" s="25">
        <f>IF(AQ91="2",BH91,0)</f>
        <v>0</v>
      </c>
      <c r="AG91" s="25">
        <f>IF(AQ91="2",BI91,0)</f>
        <v>0</v>
      </c>
      <c r="AH91" s="25">
        <f>IF(AQ91="0",BJ91,0)</f>
        <v>0</v>
      </c>
      <c r="AI91" s="11" t="s">
        <v>49</v>
      </c>
      <c r="AJ91" s="25">
        <f>IF(AN91=0,J91,0)</f>
        <v>0</v>
      </c>
      <c r="AK91" s="25">
        <f>IF(AN91=12,J91,0)</f>
        <v>0</v>
      </c>
      <c r="AL91" s="25">
        <f>IF(AN91=21,J91,0)</f>
        <v>0</v>
      </c>
      <c r="AN91" s="25">
        <v>21</v>
      </c>
      <c r="AO91" s="25">
        <f>G91*0</f>
        <v>0</v>
      </c>
      <c r="AP91" s="25">
        <f>G91*(1-0)</f>
        <v>0</v>
      </c>
      <c r="AQ91" s="27" t="s">
        <v>52</v>
      </c>
      <c r="AV91" s="25">
        <f>AW91+AX91</f>
        <v>0</v>
      </c>
      <c r="AW91" s="25">
        <f>F91*AO91</f>
        <v>0</v>
      </c>
      <c r="AX91" s="25">
        <f>F91*AP91</f>
        <v>0</v>
      </c>
      <c r="AY91" s="27" t="s">
        <v>237</v>
      </c>
      <c r="AZ91" s="27" t="s">
        <v>205</v>
      </c>
      <c r="BA91" s="11" t="s">
        <v>59</v>
      </c>
      <c r="BC91" s="25">
        <f>AW91+AX91</f>
        <v>0</v>
      </c>
      <c r="BD91" s="25">
        <f>G91/(100-BE91)*100</f>
        <v>0</v>
      </c>
      <c r="BE91" s="25">
        <v>0</v>
      </c>
      <c r="BF91" s="25">
        <f>91</f>
        <v>91</v>
      </c>
      <c r="BH91" s="25">
        <f>F91*AO91</f>
        <v>0</v>
      </c>
      <c r="BI91" s="25">
        <f>F91*AP91</f>
        <v>0</v>
      </c>
      <c r="BJ91" s="25">
        <f>F91*G91</f>
        <v>0</v>
      </c>
      <c r="BK91" s="25"/>
      <c r="BL91" s="25">
        <v>96</v>
      </c>
      <c r="BW91" s="25">
        <v>21</v>
      </c>
      <c r="BX91" s="5" t="s">
        <v>252</v>
      </c>
    </row>
    <row r="92" spans="1:76" ht="13.5" customHeight="1" x14ac:dyDescent="0.25">
      <c r="A92" s="28"/>
      <c r="B92" s="29" t="s">
        <v>60</v>
      </c>
      <c r="C92" s="77" t="s">
        <v>243</v>
      </c>
      <c r="D92" s="78"/>
      <c r="E92" s="78"/>
      <c r="F92" s="78"/>
      <c r="G92" s="78"/>
      <c r="H92" s="78"/>
      <c r="I92" s="78"/>
      <c r="J92" s="78"/>
      <c r="K92" s="79"/>
    </row>
    <row r="93" spans="1:76" x14ac:dyDescent="0.25">
      <c r="A93" s="2" t="s">
        <v>253</v>
      </c>
      <c r="B93" s="3" t="s">
        <v>254</v>
      </c>
      <c r="C93" s="69" t="s">
        <v>255</v>
      </c>
      <c r="D93" s="70"/>
      <c r="E93" s="3" t="s">
        <v>76</v>
      </c>
      <c r="F93" s="25">
        <v>80.585999999999999</v>
      </c>
      <c r="G93" s="25">
        <v>0</v>
      </c>
      <c r="H93" s="25">
        <f>F93*AO93</f>
        <v>0</v>
      </c>
      <c r="I93" s="25">
        <f>F93*AP93</f>
        <v>0</v>
      </c>
      <c r="J93" s="25">
        <f>F93*G93</f>
        <v>0</v>
      </c>
      <c r="K93" s="26" t="s">
        <v>56</v>
      </c>
      <c r="Z93" s="25">
        <f>IF(AQ93="5",BJ93,0)</f>
        <v>0</v>
      </c>
      <c r="AB93" s="25">
        <f>IF(AQ93="1",BH93,0)</f>
        <v>0</v>
      </c>
      <c r="AC93" s="25">
        <f>IF(AQ93="1",BI93,0)</f>
        <v>0</v>
      </c>
      <c r="AD93" s="25">
        <f>IF(AQ93="7",BH93,0)</f>
        <v>0</v>
      </c>
      <c r="AE93" s="25">
        <f>IF(AQ93="7",BI93,0)</f>
        <v>0</v>
      </c>
      <c r="AF93" s="25">
        <f>IF(AQ93="2",BH93,0)</f>
        <v>0</v>
      </c>
      <c r="AG93" s="25">
        <f>IF(AQ93="2",BI93,0)</f>
        <v>0</v>
      </c>
      <c r="AH93" s="25">
        <f>IF(AQ93="0",BJ93,0)</f>
        <v>0</v>
      </c>
      <c r="AI93" s="11" t="s">
        <v>49</v>
      </c>
      <c r="AJ93" s="25">
        <f>IF(AN93=0,J93,0)</f>
        <v>0</v>
      </c>
      <c r="AK93" s="25">
        <f>IF(AN93=12,J93,0)</f>
        <v>0</v>
      </c>
      <c r="AL93" s="25">
        <f>IF(AN93=21,J93,0)</f>
        <v>0</v>
      </c>
      <c r="AN93" s="25">
        <v>21</v>
      </c>
      <c r="AO93" s="25">
        <f>G93*0</f>
        <v>0</v>
      </c>
      <c r="AP93" s="25">
        <f>G93*(1-0)</f>
        <v>0</v>
      </c>
      <c r="AQ93" s="27" t="s">
        <v>52</v>
      </c>
      <c r="AV93" s="25">
        <f>AW93+AX93</f>
        <v>0</v>
      </c>
      <c r="AW93" s="25">
        <f>F93*AO93</f>
        <v>0</v>
      </c>
      <c r="AX93" s="25">
        <f>F93*AP93</f>
        <v>0</v>
      </c>
      <c r="AY93" s="27" t="s">
        <v>237</v>
      </c>
      <c r="AZ93" s="27" t="s">
        <v>205</v>
      </c>
      <c r="BA93" s="11" t="s">
        <v>59</v>
      </c>
      <c r="BC93" s="25">
        <f>AW93+AX93</f>
        <v>0</v>
      </c>
      <c r="BD93" s="25">
        <f>G93/(100-BE93)*100</f>
        <v>0</v>
      </c>
      <c r="BE93" s="25">
        <v>0</v>
      </c>
      <c r="BF93" s="25">
        <f>93</f>
        <v>93</v>
      </c>
      <c r="BH93" s="25">
        <f>F93*AO93</f>
        <v>0</v>
      </c>
      <c r="BI93" s="25">
        <f>F93*AP93</f>
        <v>0</v>
      </c>
      <c r="BJ93" s="25">
        <f>F93*G93</f>
        <v>0</v>
      </c>
      <c r="BK93" s="25"/>
      <c r="BL93" s="25">
        <v>96</v>
      </c>
      <c r="BW93" s="25">
        <v>21</v>
      </c>
      <c r="BX93" s="5" t="s">
        <v>255</v>
      </c>
    </row>
    <row r="94" spans="1:76" ht="13.5" customHeight="1" x14ac:dyDescent="0.25">
      <c r="A94" s="28"/>
      <c r="B94" s="29" t="s">
        <v>60</v>
      </c>
      <c r="C94" s="77" t="s">
        <v>256</v>
      </c>
      <c r="D94" s="78"/>
      <c r="E94" s="78"/>
      <c r="F94" s="78"/>
      <c r="G94" s="78"/>
      <c r="H94" s="78"/>
      <c r="I94" s="78"/>
      <c r="J94" s="78"/>
      <c r="K94" s="79"/>
    </row>
    <row r="95" spans="1:76" x14ac:dyDescent="0.25">
      <c r="A95" s="30" t="s">
        <v>49</v>
      </c>
      <c r="B95" s="31" t="s">
        <v>257</v>
      </c>
      <c r="C95" s="71" t="s">
        <v>258</v>
      </c>
      <c r="D95" s="72"/>
      <c r="E95" s="32" t="s">
        <v>3</v>
      </c>
      <c r="F95" s="32" t="s">
        <v>3</v>
      </c>
      <c r="G95" s="32" t="s">
        <v>3</v>
      </c>
      <c r="H95" s="1">
        <f>SUM(H96:H96)</f>
        <v>0</v>
      </c>
      <c r="I95" s="1">
        <f>SUM(I96:I96)</f>
        <v>0</v>
      </c>
      <c r="J95" s="1">
        <f>SUM(J96:J96)</f>
        <v>0</v>
      </c>
      <c r="K95" s="33" t="s">
        <v>49</v>
      </c>
      <c r="AI95" s="11" t="s">
        <v>49</v>
      </c>
      <c r="AS95" s="1">
        <f>SUM(AJ96:AJ96)</f>
        <v>0</v>
      </c>
      <c r="AT95" s="1">
        <f>SUM(AK96:AK96)</f>
        <v>0</v>
      </c>
      <c r="AU95" s="1">
        <f>SUM(AL96:AL96)</f>
        <v>0</v>
      </c>
    </row>
    <row r="96" spans="1:76" x14ac:dyDescent="0.25">
      <c r="A96" s="2" t="s">
        <v>259</v>
      </c>
      <c r="B96" s="3" t="s">
        <v>260</v>
      </c>
      <c r="C96" s="69" t="s">
        <v>261</v>
      </c>
      <c r="D96" s="70"/>
      <c r="E96" s="3" t="s">
        <v>55</v>
      </c>
      <c r="F96" s="25">
        <v>209.524</v>
      </c>
      <c r="G96" s="25">
        <v>0</v>
      </c>
      <c r="H96" s="25">
        <f>F96*AO96</f>
        <v>0</v>
      </c>
      <c r="I96" s="25">
        <f>F96*AP96</f>
        <v>0</v>
      </c>
      <c r="J96" s="25">
        <f>F96*G96</f>
        <v>0</v>
      </c>
      <c r="K96" s="26" t="s">
        <v>56</v>
      </c>
      <c r="Z96" s="25">
        <f>IF(AQ96="5",BJ96,0)</f>
        <v>0</v>
      </c>
      <c r="AB96" s="25">
        <f>IF(AQ96="1",BH96,0)</f>
        <v>0</v>
      </c>
      <c r="AC96" s="25">
        <f>IF(AQ96="1",BI96,0)</f>
        <v>0</v>
      </c>
      <c r="AD96" s="25">
        <f>IF(AQ96="7",BH96,0)</f>
        <v>0</v>
      </c>
      <c r="AE96" s="25">
        <f>IF(AQ96="7",BI96,0)</f>
        <v>0</v>
      </c>
      <c r="AF96" s="25">
        <f>IF(AQ96="2",BH96,0)</f>
        <v>0</v>
      </c>
      <c r="AG96" s="25">
        <f>IF(AQ96="2",BI96,0)</f>
        <v>0</v>
      </c>
      <c r="AH96" s="25">
        <f>IF(AQ96="0",BJ96,0)</f>
        <v>0</v>
      </c>
      <c r="AI96" s="11" t="s">
        <v>49</v>
      </c>
      <c r="AJ96" s="25">
        <f>IF(AN96=0,J96,0)</f>
        <v>0</v>
      </c>
      <c r="AK96" s="25">
        <f>IF(AN96=12,J96,0)</f>
        <v>0</v>
      </c>
      <c r="AL96" s="25">
        <f>IF(AN96=21,J96,0)</f>
        <v>0</v>
      </c>
      <c r="AN96" s="25">
        <v>21</v>
      </c>
      <c r="AO96" s="25">
        <f>G96*0.036623358</f>
        <v>0</v>
      </c>
      <c r="AP96" s="25">
        <f>G96*(1-0.036623358)</f>
        <v>0</v>
      </c>
      <c r="AQ96" s="27" t="s">
        <v>52</v>
      </c>
      <c r="AV96" s="25">
        <f>AW96+AX96</f>
        <v>0</v>
      </c>
      <c r="AW96" s="25">
        <f>F96*AO96</f>
        <v>0</v>
      </c>
      <c r="AX96" s="25">
        <f>F96*AP96</f>
        <v>0</v>
      </c>
      <c r="AY96" s="27" t="s">
        <v>262</v>
      </c>
      <c r="AZ96" s="27" t="s">
        <v>205</v>
      </c>
      <c r="BA96" s="11" t="s">
        <v>59</v>
      </c>
      <c r="BC96" s="25">
        <f>AW96+AX96</f>
        <v>0</v>
      </c>
      <c r="BD96" s="25">
        <f>G96/(100-BE96)*100</f>
        <v>0</v>
      </c>
      <c r="BE96" s="25">
        <v>0</v>
      </c>
      <c r="BF96" s="25">
        <f>96</f>
        <v>96</v>
      </c>
      <c r="BH96" s="25">
        <f>F96*AO96</f>
        <v>0</v>
      </c>
      <c r="BI96" s="25">
        <f>F96*AP96</f>
        <v>0</v>
      </c>
      <c r="BJ96" s="25">
        <f>F96*G96</f>
        <v>0</v>
      </c>
      <c r="BK96" s="25"/>
      <c r="BL96" s="25">
        <v>98</v>
      </c>
      <c r="BW96" s="25">
        <v>21</v>
      </c>
      <c r="BX96" s="5" t="s">
        <v>261</v>
      </c>
    </row>
    <row r="97" spans="1:76" ht="13.5" customHeight="1" x14ac:dyDescent="0.25">
      <c r="A97" s="28"/>
      <c r="B97" s="29" t="s">
        <v>60</v>
      </c>
      <c r="C97" s="77" t="s">
        <v>263</v>
      </c>
      <c r="D97" s="78"/>
      <c r="E97" s="78"/>
      <c r="F97" s="78"/>
      <c r="G97" s="78"/>
      <c r="H97" s="78"/>
      <c r="I97" s="78"/>
      <c r="J97" s="78"/>
      <c r="K97" s="79"/>
    </row>
    <row r="98" spans="1:76" x14ac:dyDescent="0.25">
      <c r="A98" s="30" t="s">
        <v>49</v>
      </c>
      <c r="B98" s="31" t="s">
        <v>264</v>
      </c>
      <c r="C98" s="71" t="s">
        <v>265</v>
      </c>
      <c r="D98" s="72"/>
      <c r="E98" s="32" t="s">
        <v>3</v>
      </c>
      <c r="F98" s="32" t="s">
        <v>3</v>
      </c>
      <c r="G98" s="32" t="s">
        <v>3</v>
      </c>
      <c r="H98" s="1">
        <f>SUM(H99:H107)</f>
        <v>0</v>
      </c>
      <c r="I98" s="1">
        <f>SUM(I99:I107)</f>
        <v>0</v>
      </c>
      <c r="J98" s="1">
        <f>SUM(J99:J107)</f>
        <v>0</v>
      </c>
      <c r="K98" s="33" t="s">
        <v>49</v>
      </c>
      <c r="AI98" s="11" t="s">
        <v>49</v>
      </c>
      <c r="AS98" s="1">
        <f>SUM(AJ99:AJ107)</f>
        <v>0</v>
      </c>
      <c r="AT98" s="1">
        <f>SUM(AK99:AK107)</f>
        <v>0</v>
      </c>
      <c r="AU98" s="1">
        <f>SUM(AL99:AL107)</f>
        <v>0</v>
      </c>
    </row>
    <row r="99" spans="1:76" x14ac:dyDescent="0.25">
      <c r="A99" s="2" t="s">
        <v>266</v>
      </c>
      <c r="B99" s="3" t="s">
        <v>267</v>
      </c>
      <c r="C99" s="69" t="s">
        <v>268</v>
      </c>
      <c r="D99" s="70"/>
      <c r="E99" s="3" t="s">
        <v>100</v>
      </c>
      <c r="F99" s="25">
        <v>58.601999999999997</v>
      </c>
      <c r="G99" s="25">
        <v>0</v>
      </c>
      <c r="H99" s="25">
        <f>F99*AO99</f>
        <v>0</v>
      </c>
      <c r="I99" s="25">
        <f>F99*AP99</f>
        <v>0</v>
      </c>
      <c r="J99" s="25">
        <f>F99*G99</f>
        <v>0</v>
      </c>
      <c r="K99" s="26" t="s">
        <v>56</v>
      </c>
      <c r="Z99" s="25">
        <f>IF(AQ99="5",BJ99,0)</f>
        <v>0</v>
      </c>
      <c r="AB99" s="25">
        <f>IF(AQ99="1",BH99,0)</f>
        <v>0</v>
      </c>
      <c r="AC99" s="25">
        <f>IF(AQ99="1",BI99,0)</f>
        <v>0</v>
      </c>
      <c r="AD99" s="25">
        <f>IF(AQ99="7",BH99,0)</f>
        <v>0</v>
      </c>
      <c r="AE99" s="25">
        <f>IF(AQ99="7",BI99,0)</f>
        <v>0</v>
      </c>
      <c r="AF99" s="25">
        <f>IF(AQ99="2",BH99,0)</f>
        <v>0</v>
      </c>
      <c r="AG99" s="25">
        <f>IF(AQ99="2",BI99,0)</f>
        <v>0</v>
      </c>
      <c r="AH99" s="25">
        <f>IF(AQ99="0",BJ99,0)</f>
        <v>0</v>
      </c>
      <c r="AI99" s="11" t="s">
        <v>49</v>
      </c>
      <c r="AJ99" s="25">
        <f>IF(AN99=0,J99,0)</f>
        <v>0</v>
      </c>
      <c r="AK99" s="25">
        <f>IF(AN99=12,J99,0)</f>
        <v>0</v>
      </c>
      <c r="AL99" s="25">
        <f>IF(AN99=21,J99,0)</f>
        <v>0</v>
      </c>
      <c r="AN99" s="25">
        <v>21</v>
      </c>
      <c r="AO99" s="25">
        <f>G99*0</f>
        <v>0</v>
      </c>
      <c r="AP99" s="25">
        <f>G99*(1-0)</f>
        <v>0</v>
      </c>
      <c r="AQ99" s="27" t="s">
        <v>73</v>
      </c>
      <c r="AV99" s="25">
        <f>AW99+AX99</f>
        <v>0</v>
      </c>
      <c r="AW99" s="25">
        <f>F99*AO99</f>
        <v>0</v>
      </c>
      <c r="AX99" s="25">
        <f>F99*AP99</f>
        <v>0</v>
      </c>
      <c r="AY99" s="27" t="s">
        <v>269</v>
      </c>
      <c r="AZ99" s="27" t="s">
        <v>205</v>
      </c>
      <c r="BA99" s="11" t="s">
        <v>59</v>
      </c>
      <c r="BC99" s="25">
        <f>AW99+AX99</f>
        <v>0</v>
      </c>
      <c r="BD99" s="25">
        <f>G99/(100-BE99)*100</f>
        <v>0</v>
      </c>
      <c r="BE99" s="25">
        <v>0</v>
      </c>
      <c r="BF99" s="25">
        <f>99</f>
        <v>99</v>
      </c>
      <c r="BH99" s="25">
        <f>F99*AO99</f>
        <v>0</v>
      </c>
      <c r="BI99" s="25">
        <f>F99*AP99</f>
        <v>0</v>
      </c>
      <c r="BJ99" s="25">
        <f>F99*G99</f>
        <v>0</v>
      </c>
      <c r="BK99" s="25"/>
      <c r="BL99" s="25"/>
      <c r="BW99" s="25">
        <v>21</v>
      </c>
      <c r="BX99" s="5" t="s">
        <v>268</v>
      </c>
    </row>
    <row r="100" spans="1:76" x14ac:dyDescent="0.25">
      <c r="A100" s="2" t="s">
        <v>270</v>
      </c>
      <c r="B100" s="3" t="s">
        <v>271</v>
      </c>
      <c r="C100" s="69" t="s">
        <v>272</v>
      </c>
      <c r="D100" s="70"/>
      <c r="E100" s="3" t="s">
        <v>100</v>
      </c>
      <c r="F100" s="25">
        <v>58.601999999999997</v>
      </c>
      <c r="G100" s="25">
        <v>0</v>
      </c>
      <c r="H100" s="25">
        <f>F100*AO100</f>
        <v>0</v>
      </c>
      <c r="I100" s="25">
        <f>F100*AP100</f>
        <v>0</v>
      </c>
      <c r="J100" s="25">
        <f>F100*G100</f>
        <v>0</v>
      </c>
      <c r="K100" s="26" t="s">
        <v>56</v>
      </c>
      <c r="Z100" s="25">
        <f>IF(AQ100="5",BJ100,0)</f>
        <v>0</v>
      </c>
      <c r="AB100" s="25">
        <f>IF(AQ100="1",BH100,0)</f>
        <v>0</v>
      </c>
      <c r="AC100" s="25">
        <f>IF(AQ100="1",BI100,0)</f>
        <v>0</v>
      </c>
      <c r="AD100" s="25">
        <f>IF(AQ100="7",BH100,0)</f>
        <v>0</v>
      </c>
      <c r="AE100" s="25">
        <f>IF(AQ100="7",BI100,0)</f>
        <v>0</v>
      </c>
      <c r="AF100" s="25">
        <f>IF(AQ100="2",BH100,0)</f>
        <v>0</v>
      </c>
      <c r="AG100" s="25">
        <f>IF(AQ100="2",BI100,0)</f>
        <v>0</v>
      </c>
      <c r="AH100" s="25">
        <f>IF(AQ100="0",BJ100,0)</f>
        <v>0</v>
      </c>
      <c r="AI100" s="11" t="s">
        <v>49</v>
      </c>
      <c r="AJ100" s="25">
        <f>IF(AN100=0,J100,0)</f>
        <v>0</v>
      </c>
      <c r="AK100" s="25">
        <f>IF(AN100=12,J100,0)</f>
        <v>0</v>
      </c>
      <c r="AL100" s="25">
        <f>IF(AN100=21,J100,0)</f>
        <v>0</v>
      </c>
      <c r="AN100" s="25">
        <v>21</v>
      </c>
      <c r="AO100" s="25">
        <f>G100*0.010795579</f>
        <v>0</v>
      </c>
      <c r="AP100" s="25">
        <f>G100*(1-0.010795579)</f>
        <v>0</v>
      </c>
      <c r="AQ100" s="27" t="s">
        <v>73</v>
      </c>
      <c r="AV100" s="25">
        <f>AW100+AX100</f>
        <v>0</v>
      </c>
      <c r="AW100" s="25">
        <f>F100*AO100</f>
        <v>0</v>
      </c>
      <c r="AX100" s="25">
        <f>F100*AP100</f>
        <v>0</v>
      </c>
      <c r="AY100" s="27" t="s">
        <v>269</v>
      </c>
      <c r="AZ100" s="27" t="s">
        <v>205</v>
      </c>
      <c r="BA100" s="11" t="s">
        <v>59</v>
      </c>
      <c r="BC100" s="25">
        <f>AW100+AX100</f>
        <v>0</v>
      </c>
      <c r="BD100" s="25">
        <f>G100/(100-BE100)*100</f>
        <v>0</v>
      </c>
      <c r="BE100" s="25">
        <v>0</v>
      </c>
      <c r="BF100" s="25">
        <f>100</f>
        <v>100</v>
      </c>
      <c r="BH100" s="25">
        <f>F100*AO100</f>
        <v>0</v>
      </c>
      <c r="BI100" s="25">
        <f>F100*AP100</f>
        <v>0</v>
      </c>
      <c r="BJ100" s="25">
        <f>F100*G100</f>
        <v>0</v>
      </c>
      <c r="BK100" s="25"/>
      <c r="BL100" s="25"/>
      <c r="BW100" s="25">
        <v>21</v>
      </c>
      <c r="BX100" s="5" t="s">
        <v>272</v>
      </c>
    </row>
    <row r="101" spans="1:76" ht="13.5" customHeight="1" x14ac:dyDescent="0.25">
      <c r="A101" s="28"/>
      <c r="B101" s="29" t="s">
        <v>60</v>
      </c>
      <c r="C101" s="77" t="s">
        <v>273</v>
      </c>
      <c r="D101" s="78"/>
      <c r="E101" s="78"/>
      <c r="F101" s="78"/>
      <c r="G101" s="78"/>
      <c r="H101" s="78"/>
      <c r="I101" s="78"/>
      <c r="J101" s="78"/>
      <c r="K101" s="79"/>
    </row>
    <row r="102" spans="1:76" x14ac:dyDescent="0.25">
      <c r="A102" s="2" t="s">
        <v>274</v>
      </c>
      <c r="B102" s="3" t="s">
        <v>275</v>
      </c>
      <c r="C102" s="69" t="s">
        <v>276</v>
      </c>
      <c r="D102" s="70"/>
      <c r="E102" s="3" t="s">
        <v>100</v>
      </c>
      <c r="F102" s="25">
        <v>527.41800000000001</v>
      </c>
      <c r="G102" s="25">
        <v>0</v>
      </c>
      <c r="H102" s="25">
        <f>F102*AO102</f>
        <v>0</v>
      </c>
      <c r="I102" s="25">
        <f>F102*AP102</f>
        <v>0</v>
      </c>
      <c r="J102" s="25">
        <f>F102*G102</f>
        <v>0</v>
      </c>
      <c r="K102" s="26" t="s">
        <v>56</v>
      </c>
      <c r="Z102" s="25">
        <f>IF(AQ102="5",BJ102,0)</f>
        <v>0</v>
      </c>
      <c r="AB102" s="25">
        <f>IF(AQ102="1",BH102,0)</f>
        <v>0</v>
      </c>
      <c r="AC102" s="25">
        <f>IF(AQ102="1",BI102,0)</f>
        <v>0</v>
      </c>
      <c r="AD102" s="25">
        <f>IF(AQ102="7",BH102,0)</f>
        <v>0</v>
      </c>
      <c r="AE102" s="25">
        <f>IF(AQ102="7",BI102,0)</f>
        <v>0</v>
      </c>
      <c r="AF102" s="25">
        <f>IF(AQ102="2",BH102,0)</f>
        <v>0</v>
      </c>
      <c r="AG102" s="25">
        <f>IF(AQ102="2",BI102,0)</f>
        <v>0</v>
      </c>
      <c r="AH102" s="25">
        <f>IF(AQ102="0",BJ102,0)</f>
        <v>0</v>
      </c>
      <c r="AI102" s="11" t="s">
        <v>49</v>
      </c>
      <c r="AJ102" s="25">
        <f>IF(AN102=0,J102,0)</f>
        <v>0</v>
      </c>
      <c r="AK102" s="25">
        <f>IF(AN102=12,J102,0)</f>
        <v>0</v>
      </c>
      <c r="AL102" s="25">
        <f>IF(AN102=21,J102,0)</f>
        <v>0</v>
      </c>
      <c r="AN102" s="25">
        <v>21</v>
      </c>
      <c r="AO102" s="25">
        <f>G102*0</f>
        <v>0</v>
      </c>
      <c r="AP102" s="25">
        <f>G102*(1-0)</f>
        <v>0</v>
      </c>
      <c r="AQ102" s="27" t="s">
        <v>73</v>
      </c>
      <c r="AV102" s="25">
        <f>AW102+AX102</f>
        <v>0</v>
      </c>
      <c r="AW102" s="25">
        <f>F102*AO102</f>
        <v>0</v>
      </c>
      <c r="AX102" s="25">
        <f>F102*AP102</f>
        <v>0</v>
      </c>
      <c r="AY102" s="27" t="s">
        <v>269</v>
      </c>
      <c r="AZ102" s="27" t="s">
        <v>205</v>
      </c>
      <c r="BA102" s="11" t="s">
        <v>59</v>
      </c>
      <c r="BC102" s="25">
        <f>AW102+AX102</f>
        <v>0</v>
      </c>
      <c r="BD102" s="25">
        <f>G102/(100-BE102)*100</f>
        <v>0</v>
      </c>
      <c r="BE102" s="25">
        <v>0</v>
      </c>
      <c r="BF102" s="25">
        <f>102</f>
        <v>102</v>
      </c>
      <c r="BH102" s="25">
        <f>F102*AO102</f>
        <v>0</v>
      </c>
      <c r="BI102" s="25">
        <f>F102*AP102</f>
        <v>0</v>
      </c>
      <c r="BJ102" s="25">
        <f>F102*G102</f>
        <v>0</v>
      </c>
      <c r="BK102" s="25"/>
      <c r="BL102" s="25"/>
      <c r="BW102" s="25">
        <v>21</v>
      </c>
      <c r="BX102" s="5" t="s">
        <v>276</v>
      </c>
    </row>
    <row r="103" spans="1:76" ht="13.5" customHeight="1" x14ac:dyDescent="0.25">
      <c r="A103" s="28"/>
      <c r="B103" s="29" t="s">
        <v>60</v>
      </c>
      <c r="C103" s="77" t="s">
        <v>277</v>
      </c>
      <c r="D103" s="78"/>
      <c r="E103" s="78"/>
      <c r="F103" s="78"/>
      <c r="G103" s="78"/>
      <c r="H103" s="78"/>
      <c r="I103" s="78"/>
      <c r="J103" s="78"/>
      <c r="K103" s="79"/>
    </row>
    <row r="104" spans="1:76" x14ac:dyDescent="0.25">
      <c r="A104" s="2" t="s">
        <v>278</v>
      </c>
      <c r="B104" s="3" t="s">
        <v>279</v>
      </c>
      <c r="C104" s="69" t="s">
        <v>280</v>
      </c>
      <c r="D104" s="70"/>
      <c r="E104" s="3" t="s">
        <v>100</v>
      </c>
      <c r="F104" s="25">
        <v>0.77700000000000002</v>
      </c>
      <c r="G104" s="25">
        <v>0</v>
      </c>
      <c r="H104" s="25">
        <f>F104*AO104</f>
        <v>0</v>
      </c>
      <c r="I104" s="25">
        <f>F104*AP104</f>
        <v>0</v>
      </c>
      <c r="J104" s="25">
        <f>F104*G104</f>
        <v>0</v>
      </c>
      <c r="K104" s="26" t="s">
        <v>56</v>
      </c>
      <c r="Z104" s="25">
        <f>IF(AQ104="5",BJ104,0)</f>
        <v>0</v>
      </c>
      <c r="AB104" s="25">
        <f>IF(AQ104="1",BH104,0)</f>
        <v>0</v>
      </c>
      <c r="AC104" s="25">
        <f>IF(AQ104="1",BI104,0)</f>
        <v>0</v>
      </c>
      <c r="AD104" s="25">
        <f>IF(AQ104="7",BH104,0)</f>
        <v>0</v>
      </c>
      <c r="AE104" s="25">
        <f>IF(AQ104="7",BI104,0)</f>
        <v>0</v>
      </c>
      <c r="AF104" s="25">
        <f>IF(AQ104="2",BH104,0)</f>
        <v>0</v>
      </c>
      <c r="AG104" s="25">
        <f>IF(AQ104="2",BI104,0)</f>
        <v>0</v>
      </c>
      <c r="AH104" s="25">
        <f>IF(AQ104="0",BJ104,0)</f>
        <v>0</v>
      </c>
      <c r="AI104" s="11" t="s">
        <v>49</v>
      </c>
      <c r="AJ104" s="25">
        <f>IF(AN104=0,J104,0)</f>
        <v>0</v>
      </c>
      <c r="AK104" s="25">
        <f>IF(AN104=12,J104,0)</f>
        <v>0</v>
      </c>
      <c r="AL104" s="25">
        <f>IF(AN104=21,J104,0)</f>
        <v>0</v>
      </c>
      <c r="AN104" s="25">
        <v>21</v>
      </c>
      <c r="AO104" s="25">
        <f>G104*0</f>
        <v>0</v>
      </c>
      <c r="AP104" s="25">
        <f>G104*(1-0)</f>
        <v>0</v>
      </c>
      <c r="AQ104" s="27" t="s">
        <v>73</v>
      </c>
      <c r="AV104" s="25">
        <f>AW104+AX104</f>
        <v>0</v>
      </c>
      <c r="AW104" s="25">
        <f>F104*AO104</f>
        <v>0</v>
      </c>
      <c r="AX104" s="25">
        <f>F104*AP104</f>
        <v>0</v>
      </c>
      <c r="AY104" s="27" t="s">
        <v>269</v>
      </c>
      <c r="AZ104" s="27" t="s">
        <v>205</v>
      </c>
      <c r="BA104" s="11" t="s">
        <v>59</v>
      </c>
      <c r="BC104" s="25">
        <f>AW104+AX104</f>
        <v>0</v>
      </c>
      <c r="BD104" s="25">
        <f>G104/(100-BE104)*100</f>
        <v>0</v>
      </c>
      <c r="BE104" s="25">
        <v>0</v>
      </c>
      <c r="BF104" s="25">
        <f>104</f>
        <v>104</v>
      </c>
      <c r="BH104" s="25">
        <f>F104*AO104</f>
        <v>0</v>
      </c>
      <c r="BI104" s="25">
        <f>F104*AP104</f>
        <v>0</v>
      </c>
      <c r="BJ104" s="25">
        <f>F104*G104</f>
        <v>0</v>
      </c>
      <c r="BK104" s="25"/>
      <c r="BL104" s="25"/>
      <c r="BW104" s="25">
        <v>21</v>
      </c>
      <c r="BX104" s="5" t="s">
        <v>280</v>
      </c>
    </row>
    <row r="105" spans="1:76" x14ac:dyDescent="0.25">
      <c r="A105" s="2" t="s">
        <v>281</v>
      </c>
      <c r="B105" s="3" t="s">
        <v>282</v>
      </c>
      <c r="C105" s="69" t="s">
        <v>283</v>
      </c>
      <c r="D105" s="70"/>
      <c r="E105" s="3" t="s">
        <v>100</v>
      </c>
      <c r="F105" s="25">
        <v>0.93</v>
      </c>
      <c r="G105" s="25">
        <v>0</v>
      </c>
      <c r="H105" s="25">
        <f>F105*AO105</f>
        <v>0</v>
      </c>
      <c r="I105" s="25">
        <f>F105*AP105</f>
        <v>0</v>
      </c>
      <c r="J105" s="25">
        <f>F105*G105</f>
        <v>0</v>
      </c>
      <c r="K105" s="26" t="s">
        <v>56</v>
      </c>
      <c r="Z105" s="25">
        <f>IF(AQ105="5",BJ105,0)</f>
        <v>0</v>
      </c>
      <c r="AB105" s="25">
        <f>IF(AQ105="1",BH105,0)</f>
        <v>0</v>
      </c>
      <c r="AC105" s="25">
        <f>IF(AQ105="1",BI105,0)</f>
        <v>0</v>
      </c>
      <c r="AD105" s="25">
        <f>IF(AQ105="7",BH105,0)</f>
        <v>0</v>
      </c>
      <c r="AE105" s="25">
        <f>IF(AQ105="7",BI105,0)</f>
        <v>0</v>
      </c>
      <c r="AF105" s="25">
        <f>IF(AQ105="2",BH105,0)</f>
        <v>0</v>
      </c>
      <c r="AG105" s="25">
        <f>IF(AQ105="2",BI105,0)</f>
        <v>0</v>
      </c>
      <c r="AH105" s="25">
        <f>IF(AQ105="0",BJ105,0)</f>
        <v>0</v>
      </c>
      <c r="AI105" s="11" t="s">
        <v>49</v>
      </c>
      <c r="AJ105" s="25">
        <f>IF(AN105=0,J105,0)</f>
        <v>0</v>
      </c>
      <c r="AK105" s="25">
        <f>IF(AN105=12,J105,0)</f>
        <v>0</v>
      </c>
      <c r="AL105" s="25">
        <f>IF(AN105=21,J105,0)</f>
        <v>0</v>
      </c>
      <c r="AN105" s="25">
        <v>21</v>
      </c>
      <c r="AO105" s="25">
        <f>G105*0</f>
        <v>0</v>
      </c>
      <c r="AP105" s="25">
        <f>G105*(1-0)</f>
        <v>0</v>
      </c>
      <c r="AQ105" s="27" t="s">
        <v>73</v>
      </c>
      <c r="AV105" s="25">
        <f>AW105+AX105</f>
        <v>0</v>
      </c>
      <c r="AW105" s="25">
        <f>F105*AO105</f>
        <v>0</v>
      </c>
      <c r="AX105" s="25">
        <f>F105*AP105</f>
        <v>0</v>
      </c>
      <c r="AY105" s="27" t="s">
        <v>269</v>
      </c>
      <c r="AZ105" s="27" t="s">
        <v>205</v>
      </c>
      <c r="BA105" s="11" t="s">
        <v>59</v>
      </c>
      <c r="BC105" s="25">
        <f>AW105+AX105</f>
        <v>0</v>
      </c>
      <c r="BD105" s="25">
        <f>G105/(100-BE105)*100</f>
        <v>0</v>
      </c>
      <c r="BE105" s="25">
        <v>0</v>
      </c>
      <c r="BF105" s="25">
        <f>105</f>
        <v>105</v>
      </c>
      <c r="BH105" s="25">
        <f>F105*AO105</f>
        <v>0</v>
      </c>
      <c r="BI105" s="25">
        <f>F105*AP105</f>
        <v>0</v>
      </c>
      <c r="BJ105" s="25">
        <f>F105*G105</f>
        <v>0</v>
      </c>
      <c r="BK105" s="25"/>
      <c r="BL105" s="25"/>
      <c r="BW105" s="25">
        <v>21</v>
      </c>
      <c r="BX105" s="5" t="s">
        <v>283</v>
      </c>
    </row>
    <row r="106" spans="1:76" x14ac:dyDescent="0.25">
      <c r="A106" s="2" t="s">
        <v>284</v>
      </c>
      <c r="B106" s="3" t="s">
        <v>285</v>
      </c>
      <c r="C106" s="69" t="s">
        <v>286</v>
      </c>
      <c r="D106" s="70"/>
      <c r="E106" s="3" t="s">
        <v>100</v>
      </c>
      <c r="F106" s="25">
        <v>4.37</v>
      </c>
      <c r="G106" s="25">
        <v>0</v>
      </c>
      <c r="H106" s="25">
        <f>F106*AO106</f>
        <v>0</v>
      </c>
      <c r="I106" s="25">
        <f>F106*AP106</f>
        <v>0</v>
      </c>
      <c r="J106" s="25">
        <f>F106*G106</f>
        <v>0</v>
      </c>
      <c r="K106" s="26" t="s">
        <v>56</v>
      </c>
      <c r="Z106" s="25">
        <f>IF(AQ106="5",BJ106,0)</f>
        <v>0</v>
      </c>
      <c r="AB106" s="25">
        <f>IF(AQ106="1",BH106,0)</f>
        <v>0</v>
      </c>
      <c r="AC106" s="25">
        <f>IF(AQ106="1",BI106,0)</f>
        <v>0</v>
      </c>
      <c r="AD106" s="25">
        <f>IF(AQ106="7",BH106,0)</f>
        <v>0</v>
      </c>
      <c r="AE106" s="25">
        <f>IF(AQ106="7",BI106,0)</f>
        <v>0</v>
      </c>
      <c r="AF106" s="25">
        <f>IF(AQ106="2",BH106,0)</f>
        <v>0</v>
      </c>
      <c r="AG106" s="25">
        <f>IF(AQ106="2",BI106,0)</f>
        <v>0</v>
      </c>
      <c r="AH106" s="25">
        <f>IF(AQ106="0",BJ106,0)</f>
        <v>0</v>
      </c>
      <c r="AI106" s="11" t="s">
        <v>49</v>
      </c>
      <c r="AJ106" s="25">
        <f>IF(AN106=0,J106,0)</f>
        <v>0</v>
      </c>
      <c r="AK106" s="25">
        <f>IF(AN106=12,J106,0)</f>
        <v>0</v>
      </c>
      <c r="AL106" s="25">
        <f>IF(AN106=21,J106,0)</f>
        <v>0</v>
      </c>
      <c r="AN106" s="25">
        <v>21</v>
      </c>
      <c r="AO106" s="25">
        <f>G106*0</f>
        <v>0</v>
      </c>
      <c r="AP106" s="25">
        <f>G106*(1-0)</f>
        <v>0</v>
      </c>
      <c r="AQ106" s="27" t="s">
        <v>73</v>
      </c>
      <c r="AV106" s="25">
        <f>AW106+AX106</f>
        <v>0</v>
      </c>
      <c r="AW106" s="25">
        <f>F106*AO106</f>
        <v>0</v>
      </c>
      <c r="AX106" s="25">
        <f>F106*AP106</f>
        <v>0</v>
      </c>
      <c r="AY106" s="27" t="s">
        <v>269</v>
      </c>
      <c r="AZ106" s="27" t="s">
        <v>205</v>
      </c>
      <c r="BA106" s="11" t="s">
        <v>59</v>
      </c>
      <c r="BC106" s="25">
        <f>AW106+AX106</f>
        <v>0</v>
      </c>
      <c r="BD106" s="25">
        <f>G106/(100-BE106)*100</f>
        <v>0</v>
      </c>
      <c r="BE106" s="25">
        <v>0</v>
      </c>
      <c r="BF106" s="25">
        <f>106</f>
        <v>106</v>
      </c>
      <c r="BH106" s="25">
        <f>F106*AO106</f>
        <v>0</v>
      </c>
      <c r="BI106" s="25">
        <f>F106*AP106</f>
        <v>0</v>
      </c>
      <c r="BJ106" s="25">
        <f>F106*G106</f>
        <v>0</v>
      </c>
      <c r="BK106" s="25"/>
      <c r="BL106" s="25"/>
      <c r="BW106" s="25">
        <v>21</v>
      </c>
      <c r="BX106" s="5" t="s">
        <v>286</v>
      </c>
    </row>
    <row r="107" spans="1:76" x14ac:dyDescent="0.25">
      <c r="A107" s="2" t="s">
        <v>287</v>
      </c>
      <c r="B107" s="3" t="s">
        <v>288</v>
      </c>
      <c r="C107" s="69" t="s">
        <v>289</v>
      </c>
      <c r="D107" s="70"/>
      <c r="E107" s="3" t="s">
        <v>100</v>
      </c>
      <c r="F107" s="25">
        <v>50.523000000000003</v>
      </c>
      <c r="G107" s="25">
        <v>0</v>
      </c>
      <c r="H107" s="25">
        <f>F107*AO107</f>
        <v>0</v>
      </c>
      <c r="I107" s="25">
        <f>F107*AP107</f>
        <v>0</v>
      </c>
      <c r="J107" s="25">
        <f>F107*G107</f>
        <v>0</v>
      </c>
      <c r="K107" s="26" t="s">
        <v>56</v>
      </c>
      <c r="Z107" s="25">
        <f>IF(AQ107="5",BJ107,0)</f>
        <v>0</v>
      </c>
      <c r="AB107" s="25">
        <f>IF(AQ107="1",BH107,0)</f>
        <v>0</v>
      </c>
      <c r="AC107" s="25">
        <f>IF(AQ107="1",BI107,0)</f>
        <v>0</v>
      </c>
      <c r="AD107" s="25">
        <f>IF(AQ107="7",BH107,0)</f>
        <v>0</v>
      </c>
      <c r="AE107" s="25">
        <f>IF(AQ107="7",BI107,0)</f>
        <v>0</v>
      </c>
      <c r="AF107" s="25">
        <f>IF(AQ107="2",BH107,0)</f>
        <v>0</v>
      </c>
      <c r="AG107" s="25">
        <f>IF(AQ107="2",BI107,0)</f>
        <v>0</v>
      </c>
      <c r="AH107" s="25">
        <f>IF(AQ107="0",BJ107,0)</f>
        <v>0</v>
      </c>
      <c r="AI107" s="11" t="s">
        <v>49</v>
      </c>
      <c r="AJ107" s="25">
        <f>IF(AN107=0,J107,0)</f>
        <v>0</v>
      </c>
      <c r="AK107" s="25">
        <f>IF(AN107=12,J107,0)</f>
        <v>0</v>
      </c>
      <c r="AL107" s="25">
        <f>IF(AN107=21,J107,0)</f>
        <v>0</v>
      </c>
      <c r="AN107" s="25">
        <v>21</v>
      </c>
      <c r="AO107" s="25">
        <f>G107*0</f>
        <v>0</v>
      </c>
      <c r="AP107" s="25">
        <f>G107*(1-0)</f>
        <v>0</v>
      </c>
      <c r="AQ107" s="27" t="s">
        <v>73</v>
      </c>
      <c r="AV107" s="25">
        <f>AW107+AX107</f>
        <v>0</v>
      </c>
      <c r="AW107" s="25">
        <f>F107*AO107</f>
        <v>0</v>
      </c>
      <c r="AX107" s="25">
        <f>F107*AP107</f>
        <v>0</v>
      </c>
      <c r="AY107" s="27" t="s">
        <v>269</v>
      </c>
      <c r="AZ107" s="27" t="s">
        <v>205</v>
      </c>
      <c r="BA107" s="11" t="s">
        <v>59</v>
      </c>
      <c r="BC107" s="25">
        <f>AW107+AX107</f>
        <v>0</v>
      </c>
      <c r="BD107" s="25">
        <f>G107/(100-BE107)*100</f>
        <v>0</v>
      </c>
      <c r="BE107" s="25">
        <v>0</v>
      </c>
      <c r="BF107" s="25">
        <f>107</f>
        <v>107</v>
      </c>
      <c r="BH107" s="25">
        <f>F107*AO107</f>
        <v>0</v>
      </c>
      <c r="BI107" s="25">
        <f>F107*AP107</f>
        <v>0</v>
      </c>
      <c r="BJ107" s="25">
        <f>F107*G107</f>
        <v>0</v>
      </c>
      <c r="BK107" s="25"/>
      <c r="BL107" s="25"/>
      <c r="BW107" s="25">
        <v>21</v>
      </c>
      <c r="BX107" s="5" t="s">
        <v>289</v>
      </c>
    </row>
    <row r="108" spans="1:76" x14ac:dyDescent="0.25">
      <c r="A108" s="30" t="s">
        <v>49</v>
      </c>
      <c r="B108" s="31" t="s">
        <v>290</v>
      </c>
      <c r="C108" s="71" t="s">
        <v>291</v>
      </c>
      <c r="D108" s="72"/>
      <c r="E108" s="32" t="s">
        <v>3</v>
      </c>
      <c r="F108" s="32" t="s">
        <v>3</v>
      </c>
      <c r="G108" s="32" t="s">
        <v>3</v>
      </c>
      <c r="H108" s="1">
        <f>SUM(H109:H119)</f>
        <v>0</v>
      </c>
      <c r="I108" s="1">
        <f>SUM(I109:I119)</f>
        <v>0</v>
      </c>
      <c r="J108" s="1">
        <f>SUM(J109:J119)</f>
        <v>0</v>
      </c>
      <c r="K108" s="33" t="s">
        <v>49</v>
      </c>
      <c r="AI108" s="11" t="s">
        <v>49</v>
      </c>
      <c r="AS108" s="1">
        <f>SUM(AJ109:AJ119)</f>
        <v>0</v>
      </c>
      <c r="AT108" s="1">
        <f>SUM(AK109:AK119)</f>
        <v>0</v>
      </c>
      <c r="AU108" s="1">
        <f>SUM(AL109:AL119)</f>
        <v>0</v>
      </c>
    </row>
    <row r="109" spans="1:76" ht="25.5" x14ac:dyDescent="0.25">
      <c r="A109" s="2" t="s">
        <v>292</v>
      </c>
      <c r="B109" s="3" t="s">
        <v>293</v>
      </c>
      <c r="C109" s="69" t="s">
        <v>294</v>
      </c>
      <c r="D109" s="70"/>
      <c r="E109" s="3" t="s">
        <v>76</v>
      </c>
      <c r="F109" s="25">
        <v>84.406000000000006</v>
      </c>
      <c r="G109" s="25">
        <v>0</v>
      </c>
      <c r="H109" s="25">
        <f>F109*AO109</f>
        <v>0</v>
      </c>
      <c r="I109" s="25">
        <f>F109*AP109</f>
        <v>0</v>
      </c>
      <c r="J109" s="25">
        <f>F109*G109</f>
        <v>0</v>
      </c>
      <c r="K109" s="26" t="s">
        <v>56</v>
      </c>
      <c r="Z109" s="25">
        <f>IF(AQ109="5",BJ109,0)</f>
        <v>0</v>
      </c>
      <c r="AB109" s="25">
        <f>IF(AQ109="1",BH109,0)</f>
        <v>0</v>
      </c>
      <c r="AC109" s="25">
        <f>IF(AQ109="1",BI109,0)</f>
        <v>0</v>
      </c>
      <c r="AD109" s="25">
        <f>IF(AQ109="7",BH109,0)</f>
        <v>0</v>
      </c>
      <c r="AE109" s="25">
        <f>IF(AQ109="7",BI109,0)</f>
        <v>0</v>
      </c>
      <c r="AF109" s="25">
        <f>IF(AQ109="2",BH109,0)</f>
        <v>0</v>
      </c>
      <c r="AG109" s="25">
        <f>IF(AQ109="2",BI109,0)</f>
        <v>0</v>
      </c>
      <c r="AH109" s="25">
        <f>IF(AQ109="0",BJ109,0)</f>
        <v>0</v>
      </c>
      <c r="AI109" s="11" t="s">
        <v>49</v>
      </c>
      <c r="AJ109" s="25">
        <f>IF(AN109=0,J109,0)</f>
        <v>0</v>
      </c>
      <c r="AK109" s="25">
        <f>IF(AN109=12,J109,0)</f>
        <v>0</v>
      </c>
      <c r="AL109" s="25">
        <f>IF(AN109=21,J109,0)</f>
        <v>0</v>
      </c>
      <c r="AN109" s="25">
        <v>21</v>
      </c>
      <c r="AO109" s="25">
        <f>G109*0.722029537</f>
        <v>0</v>
      </c>
      <c r="AP109" s="25">
        <f>G109*(1-0.722029537)</f>
        <v>0</v>
      </c>
      <c r="AQ109" s="27" t="s">
        <v>87</v>
      </c>
      <c r="AV109" s="25">
        <f>AW109+AX109</f>
        <v>0</v>
      </c>
      <c r="AW109" s="25">
        <f>F109*AO109</f>
        <v>0</v>
      </c>
      <c r="AX109" s="25">
        <f>F109*AP109</f>
        <v>0</v>
      </c>
      <c r="AY109" s="27" t="s">
        <v>295</v>
      </c>
      <c r="AZ109" s="27" t="s">
        <v>296</v>
      </c>
      <c r="BA109" s="11" t="s">
        <v>59</v>
      </c>
      <c r="BC109" s="25">
        <f>AW109+AX109</f>
        <v>0</v>
      </c>
      <c r="BD109" s="25">
        <f>G109/(100-BE109)*100</f>
        <v>0</v>
      </c>
      <c r="BE109" s="25">
        <v>0</v>
      </c>
      <c r="BF109" s="25">
        <f>109</f>
        <v>109</v>
      </c>
      <c r="BH109" s="25">
        <f>F109*AO109</f>
        <v>0</v>
      </c>
      <c r="BI109" s="25">
        <f>F109*AP109</f>
        <v>0</v>
      </c>
      <c r="BJ109" s="25">
        <f>F109*G109</f>
        <v>0</v>
      </c>
      <c r="BK109" s="25"/>
      <c r="BL109" s="25">
        <v>711</v>
      </c>
      <c r="BW109" s="25">
        <v>21</v>
      </c>
      <c r="BX109" s="5" t="s">
        <v>294</v>
      </c>
    </row>
    <row r="110" spans="1:76" ht="13.5" customHeight="1" x14ac:dyDescent="0.25">
      <c r="A110" s="28"/>
      <c r="B110" s="29" t="s">
        <v>60</v>
      </c>
      <c r="C110" s="77" t="s">
        <v>297</v>
      </c>
      <c r="D110" s="78"/>
      <c r="E110" s="78"/>
      <c r="F110" s="78"/>
      <c r="G110" s="78"/>
      <c r="H110" s="78"/>
      <c r="I110" s="78"/>
      <c r="J110" s="78"/>
      <c r="K110" s="79"/>
    </row>
    <row r="111" spans="1:76" x14ac:dyDescent="0.25">
      <c r="A111" s="2" t="s">
        <v>298</v>
      </c>
      <c r="B111" s="3" t="s">
        <v>299</v>
      </c>
      <c r="C111" s="69" t="s">
        <v>300</v>
      </c>
      <c r="D111" s="70"/>
      <c r="E111" s="3" t="s">
        <v>76</v>
      </c>
      <c r="F111" s="25">
        <v>84.406000000000006</v>
      </c>
      <c r="G111" s="25">
        <v>0</v>
      </c>
      <c r="H111" s="25">
        <f>F111*AO111</f>
        <v>0</v>
      </c>
      <c r="I111" s="25">
        <f>F111*AP111</f>
        <v>0</v>
      </c>
      <c r="J111" s="25">
        <f>F111*G111</f>
        <v>0</v>
      </c>
      <c r="K111" s="26" t="s">
        <v>56</v>
      </c>
      <c r="Z111" s="25">
        <f>IF(AQ111="5",BJ111,0)</f>
        <v>0</v>
      </c>
      <c r="AB111" s="25">
        <f>IF(AQ111="1",BH111,0)</f>
        <v>0</v>
      </c>
      <c r="AC111" s="25">
        <f>IF(AQ111="1",BI111,0)</f>
        <v>0</v>
      </c>
      <c r="AD111" s="25">
        <f>IF(AQ111="7",BH111,0)</f>
        <v>0</v>
      </c>
      <c r="AE111" s="25">
        <f>IF(AQ111="7",BI111,0)</f>
        <v>0</v>
      </c>
      <c r="AF111" s="25">
        <f>IF(AQ111="2",BH111,0)</f>
        <v>0</v>
      </c>
      <c r="AG111" s="25">
        <f>IF(AQ111="2",BI111,0)</f>
        <v>0</v>
      </c>
      <c r="AH111" s="25">
        <f>IF(AQ111="0",BJ111,0)</f>
        <v>0</v>
      </c>
      <c r="AI111" s="11" t="s">
        <v>49</v>
      </c>
      <c r="AJ111" s="25">
        <f>IF(AN111=0,J111,0)</f>
        <v>0</v>
      </c>
      <c r="AK111" s="25">
        <f>IF(AN111=12,J111,0)</f>
        <v>0</v>
      </c>
      <c r="AL111" s="25">
        <f>IF(AN111=21,J111,0)</f>
        <v>0</v>
      </c>
      <c r="AN111" s="25">
        <v>21</v>
      </c>
      <c r="AO111" s="25">
        <f>G111*0.767976397</f>
        <v>0</v>
      </c>
      <c r="AP111" s="25">
        <f>G111*(1-0.767976397)</f>
        <v>0</v>
      </c>
      <c r="AQ111" s="27" t="s">
        <v>87</v>
      </c>
      <c r="AV111" s="25">
        <f>AW111+AX111</f>
        <v>0</v>
      </c>
      <c r="AW111" s="25">
        <f>F111*AO111</f>
        <v>0</v>
      </c>
      <c r="AX111" s="25">
        <f>F111*AP111</f>
        <v>0</v>
      </c>
      <c r="AY111" s="27" t="s">
        <v>295</v>
      </c>
      <c r="AZ111" s="27" t="s">
        <v>296</v>
      </c>
      <c r="BA111" s="11" t="s">
        <v>59</v>
      </c>
      <c r="BC111" s="25">
        <f>AW111+AX111</f>
        <v>0</v>
      </c>
      <c r="BD111" s="25">
        <f>G111/(100-BE111)*100</f>
        <v>0</v>
      </c>
      <c r="BE111" s="25">
        <v>0</v>
      </c>
      <c r="BF111" s="25">
        <f>111</f>
        <v>111</v>
      </c>
      <c r="BH111" s="25">
        <f>F111*AO111</f>
        <v>0</v>
      </c>
      <c r="BI111" s="25">
        <f>F111*AP111</f>
        <v>0</v>
      </c>
      <c r="BJ111" s="25">
        <f>F111*G111</f>
        <v>0</v>
      </c>
      <c r="BK111" s="25"/>
      <c r="BL111" s="25">
        <v>711</v>
      </c>
      <c r="BW111" s="25">
        <v>21</v>
      </c>
      <c r="BX111" s="5" t="s">
        <v>300</v>
      </c>
    </row>
    <row r="112" spans="1:76" ht="13.5" customHeight="1" x14ac:dyDescent="0.25">
      <c r="A112" s="28"/>
      <c r="B112" s="29" t="s">
        <v>60</v>
      </c>
      <c r="C112" s="77" t="s">
        <v>301</v>
      </c>
      <c r="D112" s="78"/>
      <c r="E112" s="78"/>
      <c r="F112" s="78"/>
      <c r="G112" s="78"/>
      <c r="H112" s="78"/>
      <c r="I112" s="78"/>
      <c r="J112" s="78"/>
      <c r="K112" s="79"/>
    </row>
    <row r="113" spans="1:76" ht="25.5" x14ac:dyDescent="0.25">
      <c r="A113" s="2" t="s">
        <v>302</v>
      </c>
      <c r="B113" s="3" t="s">
        <v>303</v>
      </c>
      <c r="C113" s="69" t="s">
        <v>304</v>
      </c>
      <c r="D113" s="70"/>
      <c r="E113" s="3" t="s">
        <v>76</v>
      </c>
      <c r="F113" s="25">
        <v>17.922000000000001</v>
      </c>
      <c r="G113" s="25">
        <v>0</v>
      </c>
      <c r="H113" s="25">
        <f>F113*AO113</f>
        <v>0</v>
      </c>
      <c r="I113" s="25">
        <f>F113*AP113</f>
        <v>0</v>
      </c>
      <c r="J113" s="25">
        <f>F113*G113</f>
        <v>0</v>
      </c>
      <c r="K113" s="26" t="s">
        <v>56</v>
      </c>
      <c r="Z113" s="25">
        <f>IF(AQ113="5",BJ113,0)</f>
        <v>0</v>
      </c>
      <c r="AB113" s="25">
        <f>IF(AQ113="1",BH113,0)</f>
        <v>0</v>
      </c>
      <c r="AC113" s="25">
        <f>IF(AQ113="1",BI113,0)</f>
        <v>0</v>
      </c>
      <c r="AD113" s="25">
        <f>IF(AQ113="7",BH113,0)</f>
        <v>0</v>
      </c>
      <c r="AE113" s="25">
        <f>IF(AQ113="7",BI113,0)</f>
        <v>0</v>
      </c>
      <c r="AF113" s="25">
        <f>IF(AQ113="2",BH113,0)</f>
        <v>0</v>
      </c>
      <c r="AG113" s="25">
        <f>IF(AQ113="2",BI113,0)</f>
        <v>0</v>
      </c>
      <c r="AH113" s="25">
        <f>IF(AQ113="0",BJ113,0)</f>
        <v>0</v>
      </c>
      <c r="AI113" s="11" t="s">
        <v>49</v>
      </c>
      <c r="AJ113" s="25">
        <f>IF(AN113=0,J113,0)</f>
        <v>0</v>
      </c>
      <c r="AK113" s="25">
        <f>IF(AN113=12,J113,0)</f>
        <v>0</v>
      </c>
      <c r="AL113" s="25">
        <f>IF(AN113=21,J113,0)</f>
        <v>0</v>
      </c>
      <c r="AN113" s="25">
        <v>21</v>
      </c>
      <c r="AO113" s="25">
        <f>G113*0.637971503</f>
        <v>0</v>
      </c>
      <c r="AP113" s="25">
        <f>G113*(1-0.637971503)</f>
        <v>0</v>
      </c>
      <c r="AQ113" s="27" t="s">
        <v>87</v>
      </c>
      <c r="AV113" s="25">
        <f>AW113+AX113</f>
        <v>0</v>
      </c>
      <c r="AW113" s="25">
        <f>F113*AO113</f>
        <v>0</v>
      </c>
      <c r="AX113" s="25">
        <f>F113*AP113</f>
        <v>0</v>
      </c>
      <c r="AY113" s="27" t="s">
        <v>295</v>
      </c>
      <c r="AZ113" s="27" t="s">
        <v>296</v>
      </c>
      <c r="BA113" s="11" t="s">
        <v>59</v>
      </c>
      <c r="BC113" s="25">
        <f>AW113+AX113</f>
        <v>0</v>
      </c>
      <c r="BD113" s="25">
        <f>G113/(100-BE113)*100</f>
        <v>0</v>
      </c>
      <c r="BE113" s="25">
        <v>0</v>
      </c>
      <c r="BF113" s="25">
        <f>113</f>
        <v>113</v>
      </c>
      <c r="BH113" s="25">
        <f>F113*AO113</f>
        <v>0</v>
      </c>
      <c r="BI113" s="25">
        <f>F113*AP113</f>
        <v>0</v>
      </c>
      <c r="BJ113" s="25">
        <f>F113*G113</f>
        <v>0</v>
      </c>
      <c r="BK113" s="25"/>
      <c r="BL113" s="25">
        <v>711</v>
      </c>
      <c r="BW113" s="25">
        <v>21</v>
      </c>
      <c r="BX113" s="5" t="s">
        <v>304</v>
      </c>
    </row>
    <row r="114" spans="1:76" ht="13.5" customHeight="1" x14ac:dyDescent="0.25">
      <c r="A114" s="28"/>
      <c r="B114" s="29" t="s">
        <v>60</v>
      </c>
      <c r="C114" s="77" t="s">
        <v>305</v>
      </c>
      <c r="D114" s="78"/>
      <c r="E114" s="78"/>
      <c r="F114" s="78"/>
      <c r="G114" s="78"/>
      <c r="H114" s="78"/>
      <c r="I114" s="78"/>
      <c r="J114" s="78"/>
      <c r="K114" s="79"/>
    </row>
    <row r="115" spans="1:76" ht="25.5" x14ac:dyDescent="0.25">
      <c r="A115" s="2" t="s">
        <v>306</v>
      </c>
      <c r="B115" s="3" t="s">
        <v>307</v>
      </c>
      <c r="C115" s="69" t="s">
        <v>308</v>
      </c>
      <c r="D115" s="70"/>
      <c r="E115" s="3" t="s">
        <v>76</v>
      </c>
      <c r="F115" s="25">
        <v>17.922000000000001</v>
      </c>
      <c r="G115" s="25">
        <v>0</v>
      </c>
      <c r="H115" s="25">
        <f>F115*AO115</f>
        <v>0</v>
      </c>
      <c r="I115" s="25">
        <f>F115*AP115</f>
        <v>0</v>
      </c>
      <c r="J115" s="25">
        <f>F115*G115</f>
        <v>0</v>
      </c>
      <c r="K115" s="26" t="s">
        <v>56</v>
      </c>
      <c r="Z115" s="25">
        <f>IF(AQ115="5",BJ115,0)</f>
        <v>0</v>
      </c>
      <c r="AB115" s="25">
        <f>IF(AQ115="1",BH115,0)</f>
        <v>0</v>
      </c>
      <c r="AC115" s="25">
        <f>IF(AQ115="1",BI115,0)</f>
        <v>0</v>
      </c>
      <c r="AD115" s="25">
        <f>IF(AQ115="7",BH115,0)</f>
        <v>0</v>
      </c>
      <c r="AE115" s="25">
        <f>IF(AQ115="7",BI115,0)</f>
        <v>0</v>
      </c>
      <c r="AF115" s="25">
        <f>IF(AQ115="2",BH115,0)</f>
        <v>0</v>
      </c>
      <c r="AG115" s="25">
        <f>IF(AQ115="2",BI115,0)</f>
        <v>0</v>
      </c>
      <c r="AH115" s="25">
        <f>IF(AQ115="0",BJ115,0)</f>
        <v>0</v>
      </c>
      <c r="AI115" s="11" t="s">
        <v>49</v>
      </c>
      <c r="AJ115" s="25">
        <f>IF(AN115=0,J115,0)</f>
        <v>0</v>
      </c>
      <c r="AK115" s="25">
        <f>IF(AN115=12,J115,0)</f>
        <v>0</v>
      </c>
      <c r="AL115" s="25">
        <f>IF(AN115=21,J115,0)</f>
        <v>0</v>
      </c>
      <c r="AN115" s="25">
        <v>21</v>
      </c>
      <c r="AO115" s="25">
        <f>G115*0.784071103</f>
        <v>0</v>
      </c>
      <c r="AP115" s="25">
        <f>G115*(1-0.784071103)</f>
        <v>0</v>
      </c>
      <c r="AQ115" s="27" t="s">
        <v>87</v>
      </c>
      <c r="AV115" s="25">
        <f>AW115+AX115</f>
        <v>0</v>
      </c>
      <c r="AW115" s="25">
        <f>F115*AO115</f>
        <v>0</v>
      </c>
      <c r="AX115" s="25">
        <f>F115*AP115</f>
        <v>0</v>
      </c>
      <c r="AY115" s="27" t="s">
        <v>295</v>
      </c>
      <c r="AZ115" s="27" t="s">
        <v>296</v>
      </c>
      <c r="BA115" s="11" t="s">
        <v>59</v>
      </c>
      <c r="BC115" s="25">
        <f>AW115+AX115</f>
        <v>0</v>
      </c>
      <c r="BD115" s="25">
        <f>G115/(100-BE115)*100</f>
        <v>0</v>
      </c>
      <c r="BE115" s="25">
        <v>0</v>
      </c>
      <c r="BF115" s="25">
        <f>115</f>
        <v>115</v>
      </c>
      <c r="BH115" s="25">
        <f>F115*AO115</f>
        <v>0</v>
      </c>
      <c r="BI115" s="25">
        <f>F115*AP115</f>
        <v>0</v>
      </c>
      <c r="BJ115" s="25">
        <f>F115*G115</f>
        <v>0</v>
      </c>
      <c r="BK115" s="25"/>
      <c r="BL115" s="25">
        <v>711</v>
      </c>
      <c r="BW115" s="25">
        <v>21</v>
      </c>
      <c r="BX115" s="5" t="s">
        <v>308</v>
      </c>
    </row>
    <row r="116" spans="1:76" ht="13.5" customHeight="1" x14ac:dyDescent="0.25">
      <c r="A116" s="28"/>
      <c r="B116" s="29" t="s">
        <v>60</v>
      </c>
      <c r="C116" s="77" t="s">
        <v>309</v>
      </c>
      <c r="D116" s="78"/>
      <c r="E116" s="78"/>
      <c r="F116" s="78"/>
      <c r="G116" s="78"/>
      <c r="H116" s="78"/>
      <c r="I116" s="78"/>
      <c r="J116" s="78"/>
      <c r="K116" s="79"/>
    </row>
    <row r="117" spans="1:76" ht="25.5" x14ac:dyDescent="0.25">
      <c r="A117" s="2" t="s">
        <v>310</v>
      </c>
      <c r="B117" s="3" t="s">
        <v>311</v>
      </c>
      <c r="C117" s="69" t="s">
        <v>308</v>
      </c>
      <c r="D117" s="70"/>
      <c r="E117" s="3" t="s">
        <v>76</v>
      </c>
      <c r="F117" s="25">
        <v>17.922000000000001</v>
      </c>
      <c r="G117" s="25">
        <v>0</v>
      </c>
      <c r="H117" s="25">
        <f>F117*AO117</f>
        <v>0</v>
      </c>
      <c r="I117" s="25">
        <f>F117*AP117</f>
        <v>0</v>
      </c>
      <c r="J117" s="25">
        <f>F117*G117</f>
        <v>0</v>
      </c>
      <c r="K117" s="26" t="s">
        <v>56</v>
      </c>
      <c r="Z117" s="25">
        <f>IF(AQ117="5",BJ117,0)</f>
        <v>0</v>
      </c>
      <c r="AB117" s="25">
        <f>IF(AQ117="1",BH117,0)</f>
        <v>0</v>
      </c>
      <c r="AC117" s="25">
        <f>IF(AQ117="1",BI117,0)</f>
        <v>0</v>
      </c>
      <c r="AD117" s="25">
        <f>IF(AQ117="7",BH117,0)</f>
        <v>0</v>
      </c>
      <c r="AE117" s="25">
        <f>IF(AQ117="7",BI117,0)</f>
        <v>0</v>
      </c>
      <c r="AF117" s="25">
        <f>IF(AQ117="2",BH117,0)</f>
        <v>0</v>
      </c>
      <c r="AG117" s="25">
        <f>IF(AQ117="2",BI117,0)</f>
        <v>0</v>
      </c>
      <c r="AH117" s="25">
        <f>IF(AQ117="0",BJ117,0)</f>
        <v>0</v>
      </c>
      <c r="AI117" s="11" t="s">
        <v>49</v>
      </c>
      <c r="AJ117" s="25">
        <f>IF(AN117=0,J117,0)</f>
        <v>0</v>
      </c>
      <c r="AK117" s="25">
        <f>IF(AN117=12,J117,0)</f>
        <v>0</v>
      </c>
      <c r="AL117" s="25">
        <f>IF(AN117=21,J117,0)</f>
        <v>0</v>
      </c>
      <c r="AN117" s="25">
        <v>21</v>
      </c>
      <c r="AO117" s="25">
        <f>G117*0.756657198</f>
        <v>0</v>
      </c>
      <c r="AP117" s="25">
        <f>G117*(1-0.756657198)</f>
        <v>0</v>
      </c>
      <c r="AQ117" s="27" t="s">
        <v>87</v>
      </c>
      <c r="AV117" s="25">
        <f>AW117+AX117</f>
        <v>0</v>
      </c>
      <c r="AW117" s="25">
        <f>F117*AO117</f>
        <v>0</v>
      </c>
      <c r="AX117" s="25">
        <f>F117*AP117</f>
        <v>0</v>
      </c>
      <c r="AY117" s="27" t="s">
        <v>295</v>
      </c>
      <c r="AZ117" s="27" t="s">
        <v>296</v>
      </c>
      <c r="BA117" s="11" t="s">
        <v>59</v>
      </c>
      <c r="BC117" s="25">
        <f>AW117+AX117</f>
        <v>0</v>
      </c>
      <c r="BD117" s="25">
        <f>G117/(100-BE117)*100</f>
        <v>0</v>
      </c>
      <c r="BE117" s="25">
        <v>0</v>
      </c>
      <c r="BF117" s="25">
        <f>117</f>
        <v>117</v>
      </c>
      <c r="BH117" s="25">
        <f>F117*AO117</f>
        <v>0</v>
      </c>
      <c r="BI117" s="25">
        <f>F117*AP117</f>
        <v>0</v>
      </c>
      <c r="BJ117" s="25">
        <f>F117*G117</f>
        <v>0</v>
      </c>
      <c r="BK117" s="25"/>
      <c r="BL117" s="25">
        <v>711</v>
      </c>
      <c r="BW117" s="25">
        <v>21</v>
      </c>
      <c r="BX117" s="5" t="s">
        <v>308</v>
      </c>
    </row>
    <row r="118" spans="1:76" ht="13.5" customHeight="1" x14ac:dyDescent="0.25">
      <c r="A118" s="28"/>
      <c r="B118" s="29" t="s">
        <v>60</v>
      </c>
      <c r="C118" s="77" t="s">
        <v>312</v>
      </c>
      <c r="D118" s="78"/>
      <c r="E118" s="78"/>
      <c r="F118" s="78"/>
      <c r="G118" s="78"/>
      <c r="H118" s="78"/>
      <c r="I118" s="78"/>
      <c r="J118" s="78"/>
      <c r="K118" s="79"/>
    </row>
    <row r="119" spans="1:76" x14ac:dyDescent="0.25">
      <c r="A119" s="2" t="s">
        <v>313</v>
      </c>
      <c r="B119" s="3" t="s">
        <v>314</v>
      </c>
      <c r="C119" s="69" t="s">
        <v>315</v>
      </c>
      <c r="D119" s="70"/>
      <c r="E119" s="3" t="s">
        <v>100</v>
      </c>
      <c r="F119" s="25">
        <v>1.1879999999999999</v>
      </c>
      <c r="G119" s="25">
        <v>0</v>
      </c>
      <c r="H119" s="25">
        <f>F119*AO119</f>
        <v>0</v>
      </c>
      <c r="I119" s="25">
        <f>F119*AP119</f>
        <v>0</v>
      </c>
      <c r="J119" s="25">
        <f>F119*G119</f>
        <v>0</v>
      </c>
      <c r="K119" s="26" t="s">
        <v>56</v>
      </c>
      <c r="Z119" s="25">
        <f>IF(AQ119="5",BJ119,0)</f>
        <v>0</v>
      </c>
      <c r="AB119" s="25">
        <f>IF(AQ119="1",BH119,0)</f>
        <v>0</v>
      </c>
      <c r="AC119" s="25">
        <f>IF(AQ119="1",BI119,0)</f>
        <v>0</v>
      </c>
      <c r="AD119" s="25">
        <f>IF(AQ119="7",BH119,0)</f>
        <v>0</v>
      </c>
      <c r="AE119" s="25">
        <f>IF(AQ119="7",BI119,0)</f>
        <v>0</v>
      </c>
      <c r="AF119" s="25">
        <f>IF(AQ119="2",BH119,0)</f>
        <v>0</v>
      </c>
      <c r="AG119" s="25">
        <f>IF(AQ119="2",BI119,0)</f>
        <v>0</v>
      </c>
      <c r="AH119" s="25">
        <f>IF(AQ119="0",BJ119,0)</f>
        <v>0</v>
      </c>
      <c r="AI119" s="11" t="s">
        <v>49</v>
      </c>
      <c r="AJ119" s="25">
        <f>IF(AN119=0,J119,0)</f>
        <v>0</v>
      </c>
      <c r="AK119" s="25">
        <f>IF(AN119=12,J119,0)</f>
        <v>0</v>
      </c>
      <c r="AL119" s="25">
        <f>IF(AN119=21,J119,0)</f>
        <v>0</v>
      </c>
      <c r="AN119" s="25">
        <v>21</v>
      </c>
      <c r="AO119" s="25">
        <f>G119*0</f>
        <v>0</v>
      </c>
      <c r="AP119" s="25">
        <f>G119*(1-0)</f>
        <v>0</v>
      </c>
      <c r="AQ119" s="27" t="s">
        <v>73</v>
      </c>
      <c r="AV119" s="25">
        <f>AW119+AX119</f>
        <v>0</v>
      </c>
      <c r="AW119" s="25">
        <f>F119*AO119</f>
        <v>0</v>
      </c>
      <c r="AX119" s="25">
        <f>F119*AP119</f>
        <v>0</v>
      </c>
      <c r="AY119" s="27" t="s">
        <v>295</v>
      </c>
      <c r="AZ119" s="27" t="s">
        <v>296</v>
      </c>
      <c r="BA119" s="11" t="s">
        <v>59</v>
      </c>
      <c r="BC119" s="25">
        <f>AW119+AX119</f>
        <v>0</v>
      </c>
      <c r="BD119" s="25">
        <f>G119/(100-BE119)*100</f>
        <v>0</v>
      </c>
      <c r="BE119" s="25">
        <v>0</v>
      </c>
      <c r="BF119" s="25">
        <f>119</f>
        <v>119</v>
      </c>
      <c r="BH119" s="25">
        <f>F119*AO119</f>
        <v>0</v>
      </c>
      <c r="BI119" s="25">
        <f>F119*AP119</f>
        <v>0</v>
      </c>
      <c r="BJ119" s="25">
        <f>F119*G119</f>
        <v>0</v>
      </c>
      <c r="BK119" s="25"/>
      <c r="BL119" s="25">
        <v>711</v>
      </c>
      <c r="BW119" s="25">
        <v>21</v>
      </c>
      <c r="BX119" s="5" t="s">
        <v>315</v>
      </c>
    </row>
    <row r="120" spans="1:76" x14ac:dyDescent="0.25">
      <c r="A120" s="30" t="s">
        <v>49</v>
      </c>
      <c r="B120" s="31" t="s">
        <v>316</v>
      </c>
      <c r="C120" s="71" t="s">
        <v>317</v>
      </c>
      <c r="D120" s="72"/>
      <c r="E120" s="32" t="s">
        <v>3</v>
      </c>
      <c r="F120" s="32" t="s">
        <v>3</v>
      </c>
      <c r="G120" s="32" t="s">
        <v>3</v>
      </c>
      <c r="H120" s="1">
        <f>SUM(H121:H129)</f>
        <v>0</v>
      </c>
      <c r="I120" s="1">
        <f>SUM(I121:I129)</f>
        <v>0</v>
      </c>
      <c r="J120" s="1">
        <f>SUM(J121:J129)</f>
        <v>0</v>
      </c>
      <c r="K120" s="33" t="s">
        <v>49</v>
      </c>
      <c r="AI120" s="11" t="s">
        <v>49</v>
      </c>
      <c r="AS120" s="1">
        <f>SUM(AJ121:AJ129)</f>
        <v>0</v>
      </c>
      <c r="AT120" s="1">
        <f>SUM(AK121:AK129)</f>
        <v>0</v>
      </c>
      <c r="AU120" s="1">
        <f>SUM(AL121:AL129)</f>
        <v>0</v>
      </c>
    </row>
    <row r="121" spans="1:76" x14ac:dyDescent="0.25">
      <c r="A121" s="2" t="s">
        <v>318</v>
      </c>
      <c r="B121" s="3" t="s">
        <v>319</v>
      </c>
      <c r="C121" s="69" t="s">
        <v>320</v>
      </c>
      <c r="D121" s="70"/>
      <c r="E121" s="3" t="s">
        <v>76</v>
      </c>
      <c r="F121" s="25">
        <v>93.736000000000004</v>
      </c>
      <c r="G121" s="25">
        <v>0</v>
      </c>
      <c r="H121" s="25">
        <f>F121*AO121</f>
        <v>0</v>
      </c>
      <c r="I121" s="25">
        <f>F121*AP121</f>
        <v>0</v>
      </c>
      <c r="J121" s="25">
        <f>F121*G121</f>
        <v>0</v>
      </c>
      <c r="K121" s="26" t="s">
        <v>56</v>
      </c>
      <c r="Z121" s="25">
        <f>IF(AQ121="5",BJ121,0)</f>
        <v>0</v>
      </c>
      <c r="AB121" s="25">
        <f>IF(AQ121="1",BH121,0)</f>
        <v>0</v>
      </c>
      <c r="AC121" s="25">
        <f>IF(AQ121="1",BI121,0)</f>
        <v>0</v>
      </c>
      <c r="AD121" s="25">
        <f>IF(AQ121="7",BH121,0)</f>
        <v>0</v>
      </c>
      <c r="AE121" s="25">
        <f>IF(AQ121="7",BI121,0)</f>
        <v>0</v>
      </c>
      <c r="AF121" s="25">
        <f>IF(AQ121="2",BH121,0)</f>
        <v>0</v>
      </c>
      <c r="AG121" s="25">
        <f>IF(AQ121="2",BI121,0)</f>
        <v>0</v>
      </c>
      <c r="AH121" s="25">
        <f>IF(AQ121="0",BJ121,0)</f>
        <v>0</v>
      </c>
      <c r="AI121" s="11" t="s">
        <v>49</v>
      </c>
      <c r="AJ121" s="25">
        <f>IF(AN121=0,J121,0)</f>
        <v>0</v>
      </c>
      <c r="AK121" s="25">
        <f>IF(AN121=12,J121,0)</f>
        <v>0</v>
      </c>
      <c r="AL121" s="25">
        <f>IF(AN121=21,J121,0)</f>
        <v>0</v>
      </c>
      <c r="AN121" s="25">
        <v>21</v>
      </c>
      <c r="AO121" s="25">
        <f>G121*0.775863463</f>
        <v>0</v>
      </c>
      <c r="AP121" s="25">
        <f>G121*(1-0.775863463)</f>
        <v>0</v>
      </c>
      <c r="AQ121" s="27" t="s">
        <v>87</v>
      </c>
      <c r="AV121" s="25">
        <f>AW121+AX121</f>
        <v>0</v>
      </c>
      <c r="AW121" s="25">
        <f>F121*AO121</f>
        <v>0</v>
      </c>
      <c r="AX121" s="25">
        <f>F121*AP121</f>
        <v>0</v>
      </c>
      <c r="AY121" s="27" t="s">
        <v>321</v>
      </c>
      <c r="AZ121" s="27" t="s">
        <v>296</v>
      </c>
      <c r="BA121" s="11" t="s">
        <v>59</v>
      </c>
      <c r="BC121" s="25">
        <f>AW121+AX121</f>
        <v>0</v>
      </c>
      <c r="BD121" s="25">
        <f>G121/(100-BE121)*100</f>
        <v>0</v>
      </c>
      <c r="BE121" s="25">
        <v>0</v>
      </c>
      <c r="BF121" s="25">
        <f>121</f>
        <v>121</v>
      </c>
      <c r="BH121" s="25">
        <f>F121*AO121</f>
        <v>0</v>
      </c>
      <c r="BI121" s="25">
        <f>F121*AP121</f>
        <v>0</v>
      </c>
      <c r="BJ121" s="25">
        <f>F121*G121</f>
        <v>0</v>
      </c>
      <c r="BK121" s="25"/>
      <c r="BL121" s="25">
        <v>713</v>
      </c>
      <c r="BW121" s="25">
        <v>21</v>
      </c>
      <c r="BX121" s="5" t="s">
        <v>320</v>
      </c>
    </row>
    <row r="122" spans="1:76" ht="13.5" customHeight="1" x14ac:dyDescent="0.25">
      <c r="A122" s="28"/>
      <c r="B122" s="29" t="s">
        <v>60</v>
      </c>
      <c r="C122" s="77" t="s">
        <v>322</v>
      </c>
      <c r="D122" s="78"/>
      <c r="E122" s="78"/>
      <c r="F122" s="78"/>
      <c r="G122" s="78"/>
      <c r="H122" s="78"/>
      <c r="I122" s="78"/>
      <c r="J122" s="78"/>
      <c r="K122" s="79"/>
    </row>
    <row r="123" spans="1:76" x14ac:dyDescent="0.25">
      <c r="A123" s="2" t="s">
        <v>155</v>
      </c>
      <c r="B123" s="3" t="s">
        <v>323</v>
      </c>
      <c r="C123" s="69" t="s">
        <v>324</v>
      </c>
      <c r="D123" s="70"/>
      <c r="E123" s="3" t="s">
        <v>76</v>
      </c>
      <c r="F123" s="25">
        <v>91.311000000000007</v>
      </c>
      <c r="G123" s="25">
        <v>0</v>
      </c>
      <c r="H123" s="25">
        <f>F123*AO123</f>
        <v>0</v>
      </c>
      <c r="I123" s="25">
        <f>F123*AP123</f>
        <v>0</v>
      </c>
      <c r="J123" s="25">
        <f>F123*G123</f>
        <v>0</v>
      </c>
      <c r="K123" s="26" t="s">
        <v>56</v>
      </c>
      <c r="Z123" s="25">
        <f>IF(AQ123="5",BJ123,0)</f>
        <v>0</v>
      </c>
      <c r="AB123" s="25">
        <f>IF(AQ123="1",BH123,0)</f>
        <v>0</v>
      </c>
      <c r="AC123" s="25">
        <f>IF(AQ123="1",BI123,0)</f>
        <v>0</v>
      </c>
      <c r="AD123" s="25">
        <f>IF(AQ123="7",BH123,0)</f>
        <v>0</v>
      </c>
      <c r="AE123" s="25">
        <f>IF(AQ123="7",BI123,0)</f>
        <v>0</v>
      </c>
      <c r="AF123" s="25">
        <f>IF(AQ123="2",BH123,0)</f>
        <v>0</v>
      </c>
      <c r="AG123" s="25">
        <f>IF(AQ123="2",BI123,0)</f>
        <v>0</v>
      </c>
      <c r="AH123" s="25">
        <f>IF(AQ123="0",BJ123,0)</f>
        <v>0</v>
      </c>
      <c r="AI123" s="11" t="s">
        <v>49</v>
      </c>
      <c r="AJ123" s="25">
        <f>IF(AN123=0,J123,0)</f>
        <v>0</v>
      </c>
      <c r="AK123" s="25">
        <f>IF(AN123=12,J123,0)</f>
        <v>0</v>
      </c>
      <c r="AL123" s="25">
        <f>IF(AN123=21,J123,0)</f>
        <v>0</v>
      </c>
      <c r="AN123" s="25">
        <v>21</v>
      </c>
      <c r="AO123" s="25">
        <f>G123*0.234908518</f>
        <v>0</v>
      </c>
      <c r="AP123" s="25">
        <f>G123*(1-0.234908518)</f>
        <v>0</v>
      </c>
      <c r="AQ123" s="27" t="s">
        <v>87</v>
      </c>
      <c r="AV123" s="25">
        <f>AW123+AX123</f>
        <v>0</v>
      </c>
      <c r="AW123" s="25">
        <f>F123*AO123</f>
        <v>0</v>
      </c>
      <c r="AX123" s="25">
        <f>F123*AP123</f>
        <v>0</v>
      </c>
      <c r="AY123" s="27" t="s">
        <v>321</v>
      </c>
      <c r="AZ123" s="27" t="s">
        <v>296</v>
      </c>
      <c r="BA123" s="11" t="s">
        <v>59</v>
      </c>
      <c r="BC123" s="25">
        <f>AW123+AX123</f>
        <v>0</v>
      </c>
      <c r="BD123" s="25">
        <f>G123/(100-BE123)*100</f>
        <v>0</v>
      </c>
      <c r="BE123" s="25">
        <v>0</v>
      </c>
      <c r="BF123" s="25">
        <f>123</f>
        <v>123</v>
      </c>
      <c r="BH123" s="25">
        <f>F123*AO123</f>
        <v>0</v>
      </c>
      <c r="BI123" s="25">
        <f>F123*AP123</f>
        <v>0</v>
      </c>
      <c r="BJ123" s="25">
        <f>F123*G123</f>
        <v>0</v>
      </c>
      <c r="BK123" s="25"/>
      <c r="BL123" s="25">
        <v>713</v>
      </c>
      <c r="BW123" s="25">
        <v>21</v>
      </c>
      <c r="BX123" s="5" t="s">
        <v>324</v>
      </c>
    </row>
    <row r="124" spans="1:76" ht="13.5" customHeight="1" x14ac:dyDescent="0.25">
      <c r="A124" s="28"/>
      <c r="B124" s="29" t="s">
        <v>60</v>
      </c>
      <c r="C124" s="77" t="s">
        <v>325</v>
      </c>
      <c r="D124" s="78"/>
      <c r="E124" s="78"/>
      <c r="F124" s="78"/>
      <c r="G124" s="78"/>
      <c r="H124" s="78"/>
      <c r="I124" s="78"/>
      <c r="J124" s="78"/>
      <c r="K124" s="79"/>
    </row>
    <row r="125" spans="1:76" x14ac:dyDescent="0.25">
      <c r="A125" s="2" t="s">
        <v>167</v>
      </c>
      <c r="B125" s="3" t="s">
        <v>326</v>
      </c>
      <c r="C125" s="69" t="s">
        <v>327</v>
      </c>
      <c r="D125" s="70"/>
      <c r="E125" s="3" t="s">
        <v>76</v>
      </c>
      <c r="F125" s="25">
        <v>70.475999999999999</v>
      </c>
      <c r="G125" s="25">
        <v>0</v>
      </c>
      <c r="H125" s="25">
        <f>F125*AO125</f>
        <v>0</v>
      </c>
      <c r="I125" s="25">
        <f>F125*AP125</f>
        <v>0</v>
      </c>
      <c r="J125" s="25">
        <f>F125*G125</f>
        <v>0</v>
      </c>
      <c r="K125" s="26" t="s">
        <v>56</v>
      </c>
      <c r="Z125" s="25">
        <f>IF(AQ125="5",BJ125,0)</f>
        <v>0</v>
      </c>
      <c r="AB125" s="25">
        <f>IF(AQ125="1",BH125,0)</f>
        <v>0</v>
      </c>
      <c r="AC125" s="25">
        <f>IF(AQ125="1",BI125,0)</f>
        <v>0</v>
      </c>
      <c r="AD125" s="25">
        <f>IF(AQ125="7",BH125,0)</f>
        <v>0</v>
      </c>
      <c r="AE125" s="25">
        <f>IF(AQ125="7",BI125,0)</f>
        <v>0</v>
      </c>
      <c r="AF125" s="25">
        <f>IF(AQ125="2",BH125,0)</f>
        <v>0</v>
      </c>
      <c r="AG125" s="25">
        <f>IF(AQ125="2",BI125,0)</f>
        <v>0</v>
      </c>
      <c r="AH125" s="25">
        <f>IF(AQ125="0",BJ125,0)</f>
        <v>0</v>
      </c>
      <c r="AI125" s="11" t="s">
        <v>49</v>
      </c>
      <c r="AJ125" s="25">
        <f>IF(AN125=0,J125,0)</f>
        <v>0</v>
      </c>
      <c r="AK125" s="25">
        <f>IF(AN125=12,J125,0)</f>
        <v>0</v>
      </c>
      <c r="AL125" s="25">
        <f>IF(AN125=21,J125,0)</f>
        <v>0</v>
      </c>
      <c r="AN125" s="25">
        <v>21</v>
      </c>
      <c r="AO125" s="25">
        <f>G125*0.780826047</f>
        <v>0</v>
      </c>
      <c r="AP125" s="25">
        <f>G125*(1-0.780826047)</f>
        <v>0</v>
      </c>
      <c r="AQ125" s="27" t="s">
        <v>87</v>
      </c>
      <c r="AV125" s="25">
        <f>AW125+AX125</f>
        <v>0</v>
      </c>
      <c r="AW125" s="25">
        <f>F125*AO125</f>
        <v>0</v>
      </c>
      <c r="AX125" s="25">
        <f>F125*AP125</f>
        <v>0</v>
      </c>
      <c r="AY125" s="27" t="s">
        <v>321</v>
      </c>
      <c r="AZ125" s="27" t="s">
        <v>296</v>
      </c>
      <c r="BA125" s="11" t="s">
        <v>59</v>
      </c>
      <c r="BC125" s="25">
        <f>AW125+AX125</f>
        <v>0</v>
      </c>
      <c r="BD125" s="25">
        <f>G125/(100-BE125)*100</f>
        <v>0</v>
      </c>
      <c r="BE125" s="25">
        <v>0</v>
      </c>
      <c r="BF125" s="25">
        <f>125</f>
        <v>125</v>
      </c>
      <c r="BH125" s="25">
        <f>F125*AO125</f>
        <v>0</v>
      </c>
      <c r="BI125" s="25">
        <f>F125*AP125</f>
        <v>0</v>
      </c>
      <c r="BJ125" s="25">
        <f>F125*G125</f>
        <v>0</v>
      </c>
      <c r="BK125" s="25"/>
      <c r="BL125" s="25">
        <v>713</v>
      </c>
      <c r="BW125" s="25">
        <v>21</v>
      </c>
      <c r="BX125" s="5" t="s">
        <v>327</v>
      </c>
    </row>
    <row r="126" spans="1:76" ht="13.5" customHeight="1" x14ac:dyDescent="0.25">
      <c r="A126" s="28"/>
      <c r="B126" s="29" t="s">
        <v>60</v>
      </c>
      <c r="C126" s="77" t="s">
        <v>328</v>
      </c>
      <c r="D126" s="78"/>
      <c r="E126" s="78"/>
      <c r="F126" s="78"/>
      <c r="G126" s="78"/>
      <c r="H126" s="78"/>
      <c r="I126" s="78"/>
      <c r="J126" s="78"/>
      <c r="K126" s="79"/>
    </row>
    <row r="127" spans="1:76" x14ac:dyDescent="0.25">
      <c r="A127" s="2" t="s">
        <v>186</v>
      </c>
      <c r="B127" s="3" t="s">
        <v>329</v>
      </c>
      <c r="C127" s="69" t="s">
        <v>330</v>
      </c>
      <c r="D127" s="70"/>
      <c r="E127" s="3" t="s">
        <v>76</v>
      </c>
      <c r="F127" s="25">
        <v>17.922000000000001</v>
      </c>
      <c r="G127" s="25">
        <v>0</v>
      </c>
      <c r="H127" s="25">
        <f>F127*AO127</f>
        <v>0</v>
      </c>
      <c r="I127" s="25">
        <f>F127*AP127</f>
        <v>0</v>
      </c>
      <c r="J127" s="25">
        <f>F127*G127</f>
        <v>0</v>
      </c>
      <c r="K127" s="26" t="s">
        <v>56</v>
      </c>
      <c r="Z127" s="25">
        <f>IF(AQ127="5",BJ127,0)</f>
        <v>0</v>
      </c>
      <c r="AB127" s="25">
        <f>IF(AQ127="1",BH127,0)</f>
        <v>0</v>
      </c>
      <c r="AC127" s="25">
        <f>IF(AQ127="1",BI127,0)</f>
        <v>0</v>
      </c>
      <c r="AD127" s="25">
        <f>IF(AQ127="7",BH127,0)</f>
        <v>0</v>
      </c>
      <c r="AE127" s="25">
        <f>IF(AQ127="7",BI127,0)</f>
        <v>0</v>
      </c>
      <c r="AF127" s="25">
        <f>IF(AQ127="2",BH127,0)</f>
        <v>0</v>
      </c>
      <c r="AG127" s="25">
        <f>IF(AQ127="2",BI127,0)</f>
        <v>0</v>
      </c>
      <c r="AH127" s="25">
        <f>IF(AQ127="0",BJ127,0)</f>
        <v>0</v>
      </c>
      <c r="AI127" s="11" t="s">
        <v>49</v>
      </c>
      <c r="AJ127" s="25">
        <f>IF(AN127=0,J127,0)</f>
        <v>0</v>
      </c>
      <c r="AK127" s="25">
        <f>IF(AN127=12,J127,0)</f>
        <v>0</v>
      </c>
      <c r="AL127" s="25">
        <f>IF(AN127=21,J127,0)</f>
        <v>0</v>
      </c>
      <c r="AN127" s="25">
        <v>21</v>
      </c>
      <c r="AO127" s="25">
        <f>G127*0.507277661</f>
        <v>0</v>
      </c>
      <c r="AP127" s="25">
        <f>G127*(1-0.507277661)</f>
        <v>0</v>
      </c>
      <c r="AQ127" s="27" t="s">
        <v>87</v>
      </c>
      <c r="AV127" s="25">
        <f>AW127+AX127</f>
        <v>0</v>
      </c>
      <c r="AW127" s="25">
        <f>F127*AO127</f>
        <v>0</v>
      </c>
      <c r="AX127" s="25">
        <f>F127*AP127</f>
        <v>0</v>
      </c>
      <c r="AY127" s="27" t="s">
        <v>321</v>
      </c>
      <c r="AZ127" s="27" t="s">
        <v>296</v>
      </c>
      <c r="BA127" s="11" t="s">
        <v>59</v>
      </c>
      <c r="BC127" s="25">
        <f>AW127+AX127</f>
        <v>0</v>
      </c>
      <c r="BD127" s="25">
        <f>G127/(100-BE127)*100</f>
        <v>0</v>
      </c>
      <c r="BE127" s="25">
        <v>0</v>
      </c>
      <c r="BF127" s="25">
        <f>127</f>
        <v>127</v>
      </c>
      <c r="BH127" s="25">
        <f>F127*AO127</f>
        <v>0</v>
      </c>
      <c r="BI127" s="25">
        <f>F127*AP127</f>
        <v>0</v>
      </c>
      <c r="BJ127" s="25">
        <f>F127*G127</f>
        <v>0</v>
      </c>
      <c r="BK127" s="25"/>
      <c r="BL127" s="25">
        <v>713</v>
      </c>
      <c r="BW127" s="25">
        <v>21</v>
      </c>
      <c r="BX127" s="5" t="s">
        <v>330</v>
      </c>
    </row>
    <row r="128" spans="1:76" x14ac:dyDescent="0.25">
      <c r="A128" s="2" t="s">
        <v>331</v>
      </c>
      <c r="B128" s="3" t="s">
        <v>332</v>
      </c>
      <c r="C128" s="69" t="s">
        <v>333</v>
      </c>
      <c r="D128" s="70"/>
      <c r="E128" s="3" t="s">
        <v>55</v>
      </c>
      <c r="F128" s="25">
        <v>0.94099999999999995</v>
      </c>
      <c r="G128" s="25">
        <v>0</v>
      </c>
      <c r="H128" s="25">
        <f>F128*AO128</f>
        <v>0</v>
      </c>
      <c r="I128" s="25">
        <f>F128*AP128</f>
        <v>0</v>
      </c>
      <c r="J128" s="25">
        <f>F128*G128</f>
        <v>0</v>
      </c>
      <c r="K128" s="26" t="s">
        <v>56</v>
      </c>
      <c r="Z128" s="25">
        <f>IF(AQ128="5",BJ128,0)</f>
        <v>0</v>
      </c>
      <c r="AB128" s="25">
        <f>IF(AQ128="1",BH128,0)</f>
        <v>0</v>
      </c>
      <c r="AC128" s="25">
        <f>IF(AQ128="1",BI128,0)</f>
        <v>0</v>
      </c>
      <c r="AD128" s="25">
        <f>IF(AQ128="7",BH128,0)</f>
        <v>0</v>
      </c>
      <c r="AE128" s="25">
        <f>IF(AQ128="7",BI128,0)</f>
        <v>0</v>
      </c>
      <c r="AF128" s="25">
        <f>IF(AQ128="2",BH128,0)</f>
        <v>0</v>
      </c>
      <c r="AG128" s="25">
        <f>IF(AQ128="2",BI128,0)</f>
        <v>0</v>
      </c>
      <c r="AH128" s="25">
        <f>IF(AQ128="0",BJ128,0)</f>
        <v>0</v>
      </c>
      <c r="AI128" s="11" t="s">
        <v>49</v>
      </c>
      <c r="AJ128" s="25">
        <f>IF(AN128=0,J128,0)</f>
        <v>0</v>
      </c>
      <c r="AK128" s="25">
        <f>IF(AN128=12,J128,0)</f>
        <v>0</v>
      </c>
      <c r="AL128" s="25">
        <f>IF(AN128=21,J128,0)</f>
        <v>0</v>
      </c>
      <c r="AN128" s="25">
        <v>21</v>
      </c>
      <c r="AO128" s="25">
        <f>G128*1</f>
        <v>0</v>
      </c>
      <c r="AP128" s="25">
        <f>G128*(1-1)</f>
        <v>0</v>
      </c>
      <c r="AQ128" s="27" t="s">
        <v>87</v>
      </c>
      <c r="AV128" s="25">
        <f>AW128+AX128</f>
        <v>0</v>
      </c>
      <c r="AW128" s="25">
        <f>F128*AO128</f>
        <v>0</v>
      </c>
      <c r="AX128" s="25">
        <f>F128*AP128</f>
        <v>0</v>
      </c>
      <c r="AY128" s="27" t="s">
        <v>321</v>
      </c>
      <c r="AZ128" s="27" t="s">
        <v>296</v>
      </c>
      <c r="BA128" s="11" t="s">
        <v>59</v>
      </c>
      <c r="BC128" s="25">
        <f>AW128+AX128</f>
        <v>0</v>
      </c>
      <c r="BD128" s="25">
        <f>G128/(100-BE128)*100</f>
        <v>0</v>
      </c>
      <c r="BE128" s="25">
        <v>0</v>
      </c>
      <c r="BF128" s="25">
        <f>128</f>
        <v>128</v>
      </c>
      <c r="BH128" s="25">
        <f>F128*AO128</f>
        <v>0</v>
      </c>
      <c r="BI128" s="25">
        <f>F128*AP128</f>
        <v>0</v>
      </c>
      <c r="BJ128" s="25">
        <f>F128*G128</f>
        <v>0</v>
      </c>
      <c r="BK128" s="25"/>
      <c r="BL128" s="25">
        <v>713</v>
      </c>
      <c r="BW128" s="25">
        <v>21</v>
      </c>
      <c r="BX128" s="5" t="s">
        <v>333</v>
      </c>
    </row>
    <row r="129" spans="1:76" x14ac:dyDescent="0.25">
      <c r="A129" s="2" t="s">
        <v>334</v>
      </c>
      <c r="B129" s="3" t="s">
        <v>335</v>
      </c>
      <c r="C129" s="69" t="s">
        <v>336</v>
      </c>
      <c r="D129" s="70"/>
      <c r="E129" s="3" t="s">
        <v>100</v>
      </c>
      <c r="F129" s="25">
        <v>0.60499999999999998</v>
      </c>
      <c r="G129" s="25">
        <v>0</v>
      </c>
      <c r="H129" s="25">
        <f>F129*AO129</f>
        <v>0</v>
      </c>
      <c r="I129" s="25">
        <f>F129*AP129</f>
        <v>0</v>
      </c>
      <c r="J129" s="25">
        <f>F129*G129</f>
        <v>0</v>
      </c>
      <c r="K129" s="26" t="s">
        <v>56</v>
      </c>
      <c r="Z129" s="25">
        <f>IF(AQ129="5",BJ129,0)</f>
        <v>0</v>
      </c>
      <c r="AB129" s="25">
        <f>IF(AQ129="1",BH129,0)</f>
        <v>0</v>
      </c>
      <c r="AC129" s="25">
        <f>IF(AQ129="1",BI129,0)</f>
        <v>0</v>
      </c>
      <c r="AD129" s="25">
        <f>IF(AQ129="7",BH129,0)</f>
        <v>0</v>
      </c>
      <c r="AE129" s="25">
        <f>IF(AQ129="7",BI129,0)</f>
        <v>0</v>
      </c>
      <c r="AF129" s="25">
        <f>IF(AQ129="2",BH129,0)</f>
        <v>0</v>
      </c>
      <c r="AG129" s="25">
        <f>IF(AQ129="2",BI129,0)</f>
        <v>0</v>
      </c>
      <c r="AH129" s="25">
        <f>IF(AQ129="0",BJ129,0)</f>
        <v>0</v>
      </c>
      <c r="AI129" s="11" t="s">
        <v>49</v>
      </c>
      <c r="AJ129" s="25">
        <f>IF(AN129=0,J129,0)</f>
        <v>0</v>
      </c>
      <c r="AK129" s="25">
        <f>IF(AN129=12,J129,0)</f>
        <v>0</v>
      </c>
      <c r="AL129" s="25">
        <f>IF(AN129=21,J129,0)</f>
        <v>0</v>
      </c>
      <c r="AN129" s="25">
        <v>21</v>
      </c>
      <c r="AO129" s="25">
        <f>G129*0</f>
        <v>0</v>
      </c>
      <c r="AP129" s="25">
        <f>G129*(1-0)</f>
        <v>0</v>
      </c>
      <c r="AQ129" s="27" t="s">
        <v>73</v>
      </c>
      <c r="AV129" s="25">
        <f>AW129+AX129</f>
        <v>0</v>
      </c>
      <c r="AW129" s="25">
        <f>F129*AO129</f>
        <v>0</v>
      </c>
      <c r="AX129" s="25">
        <f>F129*AP129</f>
        <v>0</v>
      </c>
      <c r="AY129" s="27" t="s">
        <v>321</v>
      </c>
      <c r="AZ129" s="27" t="s">
        <v>296</v>
      </c>
      <c r="BA129" s="11" t="s">
        <v>59</v>
      </c>
      <c r="BC129" s="25">
        <f>AW129+AX129</f>
        <v>0</v>
      </c>
      <c r="BD129" s="25">
        <f>G129/(100-BE129)*100</f>
        <v>0</v>
      </c>
      <c r="BE129" s="25">
        <v>0</v>
      </c>
      <c r="BF129" s="25">
        <f>129</f>
        <v>129</v>
      </c>
      <c r="BH129" s="25">
        <f>F129*AO129</f>
        <v>0</v>
      </c>
      <c r="BI129" s="25">
        <f>F129*AP129</f>
        <v>0</v>
      </c>
      <c r="BJ129" s="25">
        <f>F129*G129</f>
        <v>0</v>
      </c>
      <c r="BK129" s="25"/>
      <c r="BL129" s="25">
        <v>713</v>
      </c>
      <c r="BW129" s="25">
        <v>21</v>
      </c>
      <c r="BX129" s="5" t="s">
        <v>336</v>
      </c>
    </row>
    <row r="130" spans="1:76" x14ac:dyDescent="0.25">
      <c r="A130" s="30" t="s">
        <v>49</v>
      </c>
      <c r="B130" s="31" t="s">
        <v>337</v>
      </c>
      <c r="C130" s="71" t="s">
        <v>338</v>
      </c>
      <c r="D130" s="72"/>
      <c r="E130" s="32" t="s">
        <v>3</v>
      </c>
      <c r="F130" s="32" t="s">
        <v>3</v>
      </c>
      <c r="G130" s="32" t="s">
        <v>3</v>
      </c>
      <c r="H130" s="1">
        <f>SUM(H131:H153)</f>
        <v>0</v>
      </c>
      <c r="I130" s="1">
        <f>SUM(I131:I153)</f>
        <v>0</v>
      </c>
      <c r="J130" s="1">
        <f>SUM(J131:J153)</f>
        <v>0</v>
      </c>
      <c r="K130" s="33" t="s">
        <v>49</v>
      </c>
      <c r="AI130" s="11" t="s">
        <v>49</v>
      </c>
      <c r="AS130" s="1">
        <f>SUM(AJ131:AJ153)</f>
        <v>0</v>
      </c>
      <c r="AT130" s="1">
        <f>SUM(AK131:AK153)</f>
        <v>0</v>
      </c>
      <c r="AU130" s="1">
        <f>SUM(AL131:AL153)</f>
        <v>0</v>
      </c>
    </row>
    <row r="131" spans="1:76" x14ac:dyDescent="0.25">
      <c r="A131" s="2" t="s">
        <v>339</v>
      </c>
      <c r="B131" s="3" t="s">
        <v>340</v>
      </c>
      <c r="C131" s="69" t="s">
        <v>341</v>
      </c>
      <c r="D131" s="70"/>
      <c r="E131" s="3" t="s">
        <v>151</v>
      </c>
      <c r="F131" s="25">
        <v>78.650000000000006</v>
      </c>
      <c r="G131" s="25">
        <v>0</v>
      </c>
      <c r="H131" s="25">
        <f>F131*AO131</f>
        <v>0</v>
      </c>
      <c r="I131" s="25">
        <f>F131*AP131</f>
        <v>0</v>
      </c>
      <c r="J131" s="25">
        <f>F131*G131</f>
        <v>0</v>
      </c>
      <c r="K131" s="26" t="s">
        <v>56</v>
      </c>
      <c r="Z131" s="25">
        <f>IF(AQ131="5",BJ131,0)</f>
        <v>0</v>
      </c>
      <c r="AB131" s="25">
        <f>IF(AQ131="1",BH131,0)</f>
        <v>0</v>
      </c>
      <c r="AC131" s="25">
        <f>IF(AQ131="1",BI131,0)</f>
        <v>0</v>
      </c>
      <c r="AD131" s="25">
        <f>IF(AQ131="7",BH131,0)</f>
        <v>0</v>
      </c>
      <c r="AE131" s="25">
        <f>IF(AQ131="7",BI131,0)</f>
        <v>0</v>
      </c>
      <c r="AF131" s="25">
        <f>IF(AQ131="2",BH131,0)</f>
        <v>0</v>
      </c>
      <c r="AG131" s="25">
        <f>IF(AQ131="2",BI131,0)</f>
        <v>0</v>
      </c>
      <c r="AH131" s="25">
        <f>IF(AQ131="0",BJ131,0)</f>
        <v>0</v>
      </c>
      <c r="AI131" s="11" t="s">
        <v>49</v>
      </c>
      <c r="AJ131" s="25">
        <f>IF(AN131=0,J131,0)</f>
        <v>0</v>
      </c>
      <c r="AK131" s="25">
        <f>IF(AN131=12,J131,0)</f>
        <v>0</v>
      </c>
      <c r="AL131" s="25">
        <f>IF(AN131=21,J131,0)</f>
        <v>0</v>
      </c>
      <c r="AN131" s="25">
        <v>21</v>
      </c>
      <c r="AO131" s="25">
        <f>G131*0.423787025</f>
        <v>0</v>
      </c>
      <c r="AP131" s="25">
        <f>G131*(1-0.423787025)</f>
        <v>0</v>
      </c>
      <c r="AQ131" s="27" t="s">
        <v>87</v>
      </c>
      <c r="AV131" s="25">
        <f>AW131+AX131</f>
        <v>0</v>
      </c>
      <c r="AW131" s="25">
        <f>F131*AO131</f>
        <v>0</v>
      </c>
      <c r="AX131" s="25">
        <f>F131*AP131</f>
        <v>0</v>
      </c>
      <c r="AY131" s="27" t="s">
        <v>342</v>
      </c>
      <c r="AZ131" s="27" t="s">
        <v>343</v>
      </c>
      <c r="BA131" s="11" t="s">
        <v>59</v>
      </c>
      <c r="BC131" s="25">
        <f>AW131+AX131</f>
        <v>0</v>
      </c>
      <c r="BD131" s="25">
        <f>G131/(100-BE131)*100</f>
        <v>0</v>
      </c>
      <c r="BE131" s="25">
        <v>0</v>
      </c>
      <c r="BF131" s="25">
        <f>131</f>
        <v>131</v>
      </c>
      <c r="BH131" s="25">
        <f>F131*AO131</f>
        <v>0</v>
      </c>
      <c r="BI131" s="25">
        <f>F131*AP131</f>
        <v>0</v>
      </c>
      <c r="BJ131" s="25">
        <f>F131*G131</f>
        <v>0</v>
      </c>
      <c r="BK131" s="25"/>
      <c r="BL131" s="25">
        <v>762</v>
      </c>
      <c r="BW131" s="25">
        <v>21</v>
      </c>
      <c r="BX131" s="5" t="s">
        <v>341</v>
      </c>
    </row>
    <row r="132" spans="1:76" ht="13.5" customHeight="1" x14ac:dyDescent="0.25">
      <c r="A132" s="28"/>
      <c r="B132" s="29" t="s">
        <v>60</v>
      </c>
      <c r="C132" s="77" t="s">
        <v>344</v>
      </c>
      <c r="D132" s="78"/>
      <c r="E132" s="78"/>
      <c r="F132" s="78"/>
      <c r="G132" s="78"/>
      <c r="H132" s="78"/>
      <c r="I132" s="78"/>
      <c r="J132" s="78"/>
      <c r="K132" s="79"/>
    </row>
    <row r="133" spans="1:76" x14ac:dyDescent="0.25">
      <c r="A133" s="2" t="s">
        <v>345</v>
      </c>
      <c r="B133" s="3" t="s">
        <v>346</v>
      </c>
      <c r="C133" s="69" t="s">
        <v>347</v>
      </c>
      <c r="D133" s="70"/>
      <c r="E133" s="3" t="s">
        <v>151</v>
      </c>
      <c r="F133" s="25">
        <v>106.08</v>
      </c>
      <c r="G133" s="25">
        <v>0</v>
      </c>
      <c r="H133" s="25">
        <f>F133*AO133</f>
        <v>0</v>
      </c>
      <c r="I133" s="25">
        <f>F133*AP133</f>
        <v>0</v>
      </c>
      <c r="J133" s="25">
        <f>F133*G133</f>
        <v>0</v>
      </c>
      <c r="K133" s="26" t="s">
        <v>56</v>
      </c>
      <c r="Z133" s="25">
        <f>IF(AQ133="5",BJ133,0)</f>
        <v>0</v>
      </c>
      <c r="AB133" s="25">
        <f>IF(AQ133="1",BH133,0)</f>
        <v>0</v>
      </c>
      <c r="AC133" s="25">
        <f>IF(AQ133="1",BI133,0)</f>
        <v>0</v>
      </c>
      <c r="AD133" s="25">
        <f>IF(AQ133="7",BH133,0)</f>
        <v>0</v>
      </c>
      <c r="AE133" s="25">
        <f>IF(AQ133="7",BI133,0)</f>
        <v>0</v>
      </c>
      <c r="AF133" s="25">
        <f>IF(AQ133="2",BH133,0)</f>
        <v>0</v>
      </c>
      <c r="AG133" s="25">
        <f>IF(AQ133="2",BI133,0)</f>
        <v>0</v>
      </c>
      <c r="AH133" s="25">
        <f>IF(AQ133="0",BJ133,0)</f>
        <v>0</v>
      </c>
      <c r="AI133" s="11" t="s">
        <v>49</v>
      </c>
      <c r="AJ133" s="25">
        <f>IF(AN133=0,J133,0)</f>
        <v>0</v>
      </c>
      <c r="AK133" s="25">
        <f>IF(AN133=12,J133,0)</f>
        <v>0</v>
      </c>
      <c r="AL133" s="25">
        <f>IF(AN133=21,J133,0)</f>
        <v>0</v>
      </c>
      <c r="AN133" s="25">
        <v>21</v>
      </c>
      <c r="AO133" s="25">
        <f>G133*0.434103208</f>
        <v>0</v>
      </c>
      <c r="AP133" s="25">
        <f>G133*(1-0.434103208)</f>
        <v>0</v>
      </c>
      <c r="AQ133" s="27" t="s">
        <v>87</v>
      </c>
      <c r="AV133" s="25">
        <f>AW133+AX133</f>
        <v>0</v>
      </c>
      <c r="AW133" s="25">
        <f>F133*AO133</f>
        <v>0</v>
      </c>
      <c r="AX133" s="25">
        <f>F133*AP133</f>
        <v>0</v>
      </c>
      <c r="AY133" s="27" t="s">
        <v>342</v>
      </c>
      <c r="AZ133" s="27" t="s">
        <v>343</v>
      </c>
      <c r="BA133" s="11" t="s">
        <v>59</v>
      </c>
      <c r="BC133" s="25">
        <f>AW133+AX133</f>
        <v>0</v>
      </c>
      <c r="BD133" s="25">
        <f>G133/(100-BE133)*100</f>
        <v>0</v>
      </c>
      <c r="BE133" s="25">
        <v>0</v>
      </c>
      <c r="BF133" s="25">
        <f>133</f>
        <v>133</v>
      </c>
      <c r="BH133" s="25">
        <f>F133*AO133</f>
        <v>0</v>
      </c>
      <c r="BI133" s="25">
        <f>F133*AP133</f>
        <v>0</v>
      </c>
      <c r="BJ133" s="25">
        <f>F133*G133</f>
        <v>0</v>
      </c>
      <c r="BK133" s="25"/>
      <c r="BL133" s="25">
        <v>762</v>
      </c>
      <c r="BW133" s="25">
        <v>21</v>
      </c>
      <c r="BX133" s="5" t="s">
        <v>347</v>
      </c>
    </row>
    <row r="134" spans="1:76" ht="13.5" customHeight="1" x14ac:dyDescent="0.25">
      <c r="A134" s="28"/>
      <c r="B134" s="29" t="s">
        <v>60</v>
      </c>
      <c r="C134" s="77" t="s">
        <v>348</v>
      </c>
      <c r="D134" s="78"/>
      <c r="E134" s="78"/>
      <c r="F134" s="78"/>
      <c r="G134" s="78"/>
      <c r="H134" s="78"/>
      <c r="I134" s="78"/>
      <c r="J134" s="78"/>
      <c r="K134" s="79"/>
    </row>
    <row r="135" spans="1:76" x14ac:dyDescent="0.25">
      <c r="A135" s="2" t="s">
        <v>349</v>
      </c>
      <c r="B135" s="3" t="s">
        <v>350</v>
      </c>
      <c r="C135" s="69" t="s">
        <v>347</v>
      </c>
      <c r="D135" s="70"/>
      <c r="E135" s="3" t="s">
        <v>151</v>
      </c>
      <c r="F135" s="25">
        <v>22.1</v>
      </c>
      <c r="G135" s="25">
        <v>0</v>
      </c>
      <c r="H135" s="25">
        <f>F135*AO135</f>
        <v>0</v>
      </c>
      <c r="I135" s="25">
        <f>F135*AP135</f>
        <v>0</v>
      </c>
      <c r="J135" s="25">
        <f>F135*G135</f>
        <v>0</v>
      </c>
      <c r="K135" s="26" t="s">
        <v>56</v>
      </c>
      <c r="Z135" s="25">
        <f>IF(AQ135="5",BJ135,0)</f>
        <v>0</v>
      </c>
      <c r="AB135" s="25">
        <f>IF(AQ135="1",BH135,0)</f>
        <v>0</v>
      </c>
      <c r="AC135" s="25">
        <f>IF(AQ135="1",BI135,0)</f>
        <v>0</v>
      </c>
      <c r="AD135" s="25">
        <f>IF(AQ135="7",BH135,0)</f>
        <v>0</v>
      </c>
      <c r="AE135" s="25">
        <f>IF(AQ135="7",BI135,0)</f>
        <v>0</v>
      </c>
      <c r="AF135" s="25">
        <f>IF(AQ135="2",BH135,0)</f>
        <v>0</v>
      </c>
      <c r="AG135" s="25">
        <f>IF(AQ135="2",BI135,0)</f>
        <v>0</v>
      </c>
      <c r="AH135" s="25">
        <f>IF(AQ135="0",BJ135,0)</f>
        <v>0</v>
      </c>
      <c r="AI135" s="11" t="s">
        <v>49</v>
      </c>
      <c r="AJ135" s="25">
        <f>IF(AN135=0,J135,0)</f>
        <v>0</v>
      </c>
      <c r="AK135" s="25">
        <f>IF(AN135=12,J135,0)</f>
        <v>0</v>
      </c>
      <c r="AL135" s="25">
        <f>IF(AN135=21,J135,0)</f>
        <v>0</v>
      </c>
      <c r="AN135" s="25">
        <v>21</v>
      </c>
      <c r="AO135" s="25">
        <f>G135*0.468453823</f>
        <v>0</v>
      </c>
      <c r="AP135" s="25">
        <f>G135*(1-0.468453823)</f>
        <v>0</v>
      </c>
      <c r="AQ135" s="27" t="s">
        <v>87</v>
      </c>
      <c r="AV135" s="25">
        <f>AW135+AX135</f>
        <v>0</v>
      </c>
      <c r="AW135" s="25">
        <f>F135*AO135</f>
        <v>0</v>
      </c>
      <c r="AX135" s="25">
        <f>F135*AP135</f>
        <v>0</v>
      </c>
      <c r="AY135" s="27" t="s">
        <v>342</v>
      </c>
      <c r="AZ135" s="27" t="s">
        <v>343</v>
      </c>
      <c r="BA135" s="11" t="s">
        <v>59</v>
      </c>
      <c r="BC135" s="25">
        <f>AW135+AX135</f>
        <v>0</v>
      </c>
      <c r="BD135" s="25">
        <f>G135/(100-BE135)*100</f>
        <v>0</v>
      </c>
      <c r="BE135" s="25">
        <v>0</v>
      </c>
      <c r="BF135" s="25">
        <f>135</f>
        <v>135</v>
      </c>
      <c r="BH135" s="25">
        <f>F135*AO135</f>
        <v>0</v>
      </c>
      <c r="BI135" s="25">
        <f>F135*AP135</f>
        <v>0</v>
      </c>
      <c r="BJ135" s="25">
        <f>F135*G135</f>
        <v>0</v>
      </c>
      <c r="BK135" s="25"/>
      <c r="BL135" s="25">
        <v>762</v>
      </c>
      <c r="BW135" s="25">
        <v>21</v>
      </c>
      <c r="BX135" s="5" t="s">
        <v>347</v>
      </c>
    </row>
    <row r="136" spans="1:76" ht="13.5" customHeight="1" x14ac:dyDescent="0.25">
      <c r="A136" s="28"/>
      <c r="B136" s="29" t="s">
        <v>60</v>
      </c>
      <c r="C136" s="77" t="s">
        <v>351</v>
      </c>
      <c r="D136" s="78"/>
      <c r="E136" s="78"/>
      <c r="F136" s="78"/>
      <c r="G136" s="78"/>
      <c r="H136" s="78"/>
      <c r="I136" s="78"/>
      <c r="J136" s="78"/>
      <c r="K136" s="79"/>
    </row>
    <row r="137" spans="1:76" x14ac:dyDescent="0.25">
      <c r="A137" s="2" t="s">
        <v>352</v>
      </c>
      <c r="B137" s="3" t="s">
        <v>353</v>
      </c>
      <c r="C137" s="69" t="s">
        <v>354</v>
      </c>
      <c r="D137" s="70"/>
      <c r="E137" s="3" t="s">
        <v>151</v>
      </c>
      <c r="F137" s="25">
        <v>4</v>
      </c>
      <c r="G137" s="25">
        <v>0</v>
      </c>
      <c r="H137" s="25">
        <f>F137*AO137</f>
        <v>0</v>
      </c>
      <c r="I137" s="25">
        <f>F137*AP137</f>
        <v>0</v>
      </c>
      <c r="J137" s="25">
        <f>F137*G137</f>
        <v>0</v>
      </c>
      <c r="K137" s="26" t="s">
        <v>56</v>
      </c>
      <c r="Z137" s="25">
        <f>IF(AQ137="5",BJ137,0)</f>
        <v>0</v>
      </c>
      <c r="AB137" s="25">
        <f>IF(AQ137="1",BH137,0)</f>
        <v>0</v>
      </c>
      <c r="AC137" s="25">
        <f>IF(AQ137="1",BI137,0)</f>
        <v>0</v>
      </c>
      <c r="AD137" s="25">
        <f>IF(AQ137="7",BH137,0)</f>
        <v>0</v>
      </c>
      <c r="AE137" s="25">
        <f>IF(AQ137="7",BI137,0)</f>
        <v>0</v>
      </c>
      <c r="AF137" s="25">
        <f>IF(AQ137="2",BH137,0)</f>
        <v>0</v>
      </c>
      <c r="AG137" s="25">
        <f>IF(AQ137="2",BI137,0)</f>
        <v>0</v>
      </c>
      <c r="AH137" s="25">
        <f>IF(AQ137="0",BJ137,0)</f>
        <v>0</v>
      </c>
      <c r="AI137" s="11" t="s">
        <v>49</v>
      </c>
      <c r="AJ137" s="25">
        <f>IF(AN137=0,J137,0)</f>
        <v>0</v>
      </c>
      <c r="AK137" s="25">
        <f>IF(AN137=12,J137,0)</f>
        <v>0</v>
      </c>
      <c r="AL137" s="25">
        <f>IF(AN137=21,J137,0)</f>
        <v>0</v>
      </c>
      <c r="AN137" s="25">
        <v>21</v>
      </c>
      <c r="AO137" s="25">
        <f>G137*0.469278163</f>
        <v>0</v>
      </c>
      <c r="AP137" s="25">
        <f>G137*(1-0.469278163)</f>
        <v>0</v>
      </c>
      <c r="AQ137" s="27" t="s">
        <v>87</v>
      </c>
      <c r="AV137" s="25">
        <f>AW137+AX137</f>
        <v>0</v>
      </c>
      <c r="AW137" s="25">
        <f>F137*AO137</f>
        <v>0</v>
      </c>
      <c r="AX137" s="25">
        <f>F137*AP137</f>
        <v>0</v>
      </c>
      <c r="AY137" s="27" t="s">
        <v>342</v>
      </c>
      <c r="AZ137" s="27" t="s">
        <v>343</v>
      </c>
      <c r="BA137" s="11" t="s">
        <v>59</v>
      </c>
      <c r="BC137" s="25">
        <f>AW137+AX137</f>
        <v>0</v>
      </c>
      <c r="BD137" s="25">
        <f>G137/(100-BE137)*100</f>
        <v>0</v>
      </c>
      <c r="BE137" s="25">
        <v>0</v>
      </c>
      <c r="BF137" s="25">
        <f>137</f>
        <v>137</v>
      </c>
      <c r="BH137" s="25">
        <f>F137*AO137</f>
        <v>0</v>
      </c>
      <c r="BI137" s="25">
        <f>F137*AP137</f>
        <v>0</v>
      </c>
      <c r="BJ137" s="25">
        <f>F137*G137</f>
        <v>0</v>
      </c>
      <c r="BK137" s="25"/>
      <c r="BL137" s="25">
        <v>762</v>
      </c>
      <c r="BW137" s="25">
        <v>21</v>
      </c>
      <c r="BX137" s="5" t="s">
        <v>354</v>
      </c>
    </row>
    <row r="138" spans="1:76" ht="13.5" customHeight="1" x14ac:dyDescent="0.25">
      <c r="A138" s="28"/>
      <c r="B138" s="29" t="s">
        <v>60</v>
      </c>
      <c r="C138" s="77" t="s">
        <v>355</v>
      </c>
      <c r="D138" s="78"/>
      <c r="E138" s="78"/>
      <c r="F138" s="78"/>
      <c r="G138" s="78"/>
      <c r="H138" s="78"/>
      <c r="I138" s="78"/>
      <c r="J138" s="78"/>
      <c r="K138" s="79"/>
    </row>
    <row r="139" spans="1:76" x14ac:dyDescent="0.25">
      <c r="A139" s="2" t="s">
        <v>356</v>
      </c>
      <c r="B139" s="3" t="s">
        <v>357</v>
      </c>
      <c r="C139" s="69" t="s">
        <v>358</v>
      </c>
      <c r="D139" s="70"/>
      <c r="E139" s="3" t="s">
        <v>151</v>
      </c>
      <c r="F139" s="25">
        <v>11.05</v>
      </c>
      <c r="G139" s="25">
        <v>0</v>
      </c>
      <c r="H139" s="25">
        <f>F139*AO139</f>
        <v>0</v>
      </c>
      <c r="I139" s="25">
        <f>F139*AP139</f>
        <v>0</v>
      </c>
      <c r="J139" s="25">
        <f>F139*G139</f>
        <v>0</v>
      </c>
      <c r="K139" s="26" t="s">
        <v>56</v>
      </c>
      <c r="Z139" s="25">
        <f>IF(AQ139="5",BJ139,0)</f>
        <v>0</v>
      </c>
      <c r="AB139" s="25">
        <f>IF(AQ139="1",BH139,0)</f>
        <v>0</v>
      </c>
      <c r="AC139" s="25">
        <f>IF(AQ139="1",BI139,0)</f>
        <v>0</v>
      </c>
      <c r="AD139" s="25">
        <f>IF(AQ139="7",BH139,0)</f>
        <v>0</v>
      </c>
      <c r="AE139" s="25">
        <f>IF(AQ139="7",BI139,0)</f>
        <v>0</v>
      </c>
      <c r="AF139" s="25">
        <f>IF(AQ139="2",BH139,0)</f>
        <v>0</v>
      </c>
      <c r="AG139" s="25">
        <f>IF(AQ139="2",BI139,0)</f>
        <v>0</v>
      </c>
      <c r="AH139" s="25">
        <f>IF(AQ139="0",BJ139,0)</f>
        <v>0</v>
      </c>
      <c r="AI139" s="11" t="s">
        <v>49</v>
      </c>
      <c r="AJ139" s="25">
        <f>IF(AN139=0,J139,0)</f>
        <v>0</v>
      </c>
      <c r="AK139" s="25">
        <f>IF(AN139=12,J139,0)</f>
        <v>0</v>
      </c>
      <c r="AL139" s="25">
        <f>IF(AN139=21,J139,0)</f>
        <v>0</v>
      </c>
      <c r="AN139" s="25">
        <v>21</v>
      </c>
      <c r="AO139" s="25">
        <f>G139*0.575409409</f>
        <v>0</v>
      </c>
      <c r="AP139" s="25">
        <f>G139*(1-0.575409409)</f>
        <v>0</v>
      </c>
      <c r="AQ139" s="27" t="s">
        <v>87</v>
      </c>
      <c r="AV139" s="25">
        <f>AW139+AX139</f>
        <v>0</v>
      </c>
      <c r="AW139" s="25">
        <f>F139*AO139</f>
        <v>0</v>
      </c>
      <c r="AX139" s="25">
        <f>F139*AP139</f>
        <v>0</v>
      </c>
      <c r="AY139" s="27" t="s">
        <v>342</v>
      </c>
      <c r="AZ139" s="27" t="s">
        <v>343</v>
      </c>
      <c r="BA139" s="11" t="s">
        <v>59</v>
      </c>
      <c r="BC139" s="25">
        <f>AW139+AX139</f>
        <v>0</v>
      </c>
      <c r="BD139" s="25">
        <f>G139/(100-BE139)*100</f>
        <v>0</v>
      </c>
      <c r="BE139" s="25">
        <v>0</v>
      </c>
      <c r="BF139" s="25">
        <f>139</f>
        <v>139</v>
      </c>
      <c r="BH139" s="25">
        <f>F139*AO139</f>
        <v>0</v>
      </c>
      <c r="BI139" s="25">
        <f>F139*AP139</f>
        <v>0</v>
      </c>
      <c r="BJ139" s="25">
        <f>F139*G139</f>
        <v>0</v>
      </c>
      <c r="BK139" s="25"/>
      <c r="BL139" s="25">
        <v>762</v>
      </c>
      <c r="BW139" s="25">
        <v>21</v>
      </c>
      <c r="BX139" s="5" t="s">
        <v>358</v>
      </c>
    </row>
    <row r="140" spans="1:76" ht="13.5" customHeight="1" x14ac:dyDescent="0.25">
      <c r="A140" s="28"/>
      <c r="B140" s="29" t="s">
        <v>60</v>
      </c>
      <c r="C140" s="77" t="s">
        <v>359</v>
      </c>
      <c r="D140" s="78"/>
      <c r="E140" s="78"/>
      <c r="F140" s="78"/>
      <c r="G140" s="78"/>
      <c r="H140" s="78"/>
      <c r="I140" s="78"/>
      <c r="J140" s="78"/>
      <c r="K140" s="79"/>
    </row>
    <row r="141" spans="1:76" x14ac:dyDescent="0.25">
      <c r="A141" s="2" t="s">
        <v>360</v>
      </c>
      <c r="B141" s="3" t="s">
        <v>361</v>
      </c>
      <c r="C141" s="69" t="s">
        <v>362</v>
      </c>
      <c r="D141" s="70"/>
      <c r="E141" s="3" t="s">
        <v>76</v>
      </c>
      <c r="F141" s="25">
        <v>88.736000000000004</v>
      </c>
      <c r="G141" s="25">
        <v>0</v>
      </c>
      <c r="H141" s="25">
        <f>F141*AO141</f>
        <v>0</v>
      </c>
      <c r="I141" s="25">
        <f>F141*AP141</f>
        <v>0</v>
      </c>
      <c r="J141" s="25">
        <f>F141*G141</f>
        <v>0</v>
      </c>
      <c r="K141" s="26" t="s">
        <v>56</v>
      </c>
      <c r="Z141" s="25">
        <f>IF(AQ141="5",BJ141,0)</f>
        <v>0</v>
      </c>
      <c r="AB141" s="25">
        <f>IF(AQ141="1",BH141,0)</f>
        <v>0</v>
      </c>
      <c r="AC141" s="25">
        <f>IF(AQ141="1",BI141,0)</f>
        <v>0</v>
      </c>
      <c r="AD141" s="25">
        <f>IF(AQ141="7",BH141,0)</f>
        <v>0</v>
      </c>
      <c r="AE141" s="25">
        <f>IF(AQ141="7",BI141,0)</f>
        <v>0</v>
      </c>
      <c r="AF141" s="25">
        <f>IF(AQ141="2",BH141,0)</f>
        <v>0</v>
      </c>
      <c r="AG141" s="25">
        <f>IF(AQ141="2",BI141,0)</f>
        <v>0</v>
      </c>
      <c r="AH141" s="25">
        <f>IF(AQ141="0",BJ141,0)</f>
        <v>0</v>
      </c>
      <c r="AI141" s="11" t="s">
        <v>49</v>
      </c>
      <c r="AJ141" s="25">
        <f>IF(AN141=0,J141,0)</f>
        <v>0</v>
      </c>
      <c r="AK141" s="25">
        <f>IF(AN141=12,J141,0)</f>
        <v>0</v>
      </c>
      <c r="AL141" s="25">
        <f>IF(AN141=21,J141,0)</f>
        <v>0</v>
      </c>
      <c r="AN141" s="25">
        <v>21</v>
      </c>
      <c r="AO141" s="25">
        <f>G141*0.584076871</f>
        <v>0</v>
      </c>
      <c r="AP141" s="25">
        <f>G141*(1-0.584076871)</f>
        <v>0</v>
      </c>
      <c r="AQ141" s="27" t="s">
        <v>87</v>
      </c>
      <c r="AV141" s="25">
        <f>AW141+AX141</f>
        <v>0</v>
      </c>
      <c r="AW141" s="25">
        <f>F141*AO141</f>
        <v>0</v>
      </c>
      <c r="AX141" s="25">
        <f>F141*AP141</f>
        <v>0</v>
      </c>
      <c r="AY141" s="27" t="s">
        <v>342</v>
      </c>
      <c r="AZ141" s="27" t="s">
        <v>343</v>
      </c>
      <c r="BA141" s="11" t="s">
        <v>59</v>
      </c>
      <c r="BC141" s="25">
        <f>AW141+AX141</f>
        <v>0</v>
      </c>
      <c r="BD141" s="25">
        <f>G141/(100-BE141)*100</f>
        <v>0</v>
      </c>
      <c r="BE141" s="25">
        <v>0</v>
      </c>
      <c r="BF141" s="25">
        <f>141</f>
        <v>141</v>
      </c>
      <c r="BH141" s="25">
        <f>F141*AO141</f>
        <v>0</v>
      </c>
      <c r="BI141" s="25">
        <f>F141*AP141</f>
        <v>0</v>
      </c>
      <c r="BJ141" s="25">
        <f>F141*G141</f>
        <v>0</v>
      </c>
      <c r="BK141" s="25"/>
      <c r="BL141" s="25">
        <v>762</v>
      </c>
      <c r="BW141" s="25">
        <v>21</v>
      </c>
      <c r="BX141" s="5" t="s">
        <v>362</v>
      </c>
    </row>
    <row r="142" spans="1:76" ht="13.5" customHeight="1" x14ac:dyDescent="0.25">
      <c r="A142" s="28"/>
      <c r="B142" s="29" t="s">
        <v>60</v>
      </c>
      <c r="C142" s="77" t="s">
        <v>363</v>
      </c>
      <c r="D142" s="78"/>
      <c r="E142" s="78"/>
      <c r="F142" s="78"/>
      <c r="G142" s="78"/>
      <c r="H142" s="78"/>
      <c r="I142" s="78"/>
      <c r="J142" s="78"/>
      <c r="K142" s="79"/>
    </row>
    <row r="143" spans="1:76" x14ac:dyDescent="0.25">
      <c r="A143" s="2" t="s">
        <v>364</v>
      </c>
      <c r="B143" s="3" t="s">
        <v>365</v>
      </c>
      <c r="C143" s="69" t="s">
        <v>366</v>
      </c>
      <c r="D143" s="70"/>
      <c r="E143" s="3" t="s">
        <v>76</v>
      </c>
      <c r="F143" s="25">
        <v>88.736000000000004</v>
      </c>
      <c r="G143" s="25">
        <v>0</v>
      </c>
      <c r="H143" s="25">
        <f>F143*AO143</f>
        <v>0</v>
      </c>
      <c r="I143" s="25">
        <f>F143*AP143</f>
        <v>0</v>
      </c>
      <c r="J143" s="25">
        <f>F143*G143</f>
        <v>0</v>
      </c>
      <c r="K143" s="26" t="s">
        <v>56</v>
      </c>
      <c r="Z143" s="25">
        <f>IF(AQ143="5",BJ143,0)</f>
        <v>0</v>
      </c>
      <c r="AB143" s="25">
        <f>IF(AQ143="1",BH143,0)</f>
        <v>0</v>
      </c>
      <c r="AC143" s="25">
        <f>IF(AQ143="1",BI143,0)</f>
        <v>0</v>
      </c>
      <c r="AD143" s="25">
        <f>IF(AQ143="7",BH143,0)</f>
        <v>0</v>
      </c>
      <c r="AE143" s="25">
        <f>IF(AQ143="7",BI143,0)</f>
        <v>0</v>
      </c>
      <c r="AF143" s="25">
        <f>IF(AQ143="2",BH143,0)</f>
        <v>0</v>
      </c>
      <c r="AG143" s="25">
        <f>IF(AQ143="2",BI143,0)</f>
        <v>0</v>
      </c>
      <c r="AH143" s="25">
        <f>IF(AQ143="0",BJ143,0)</f>
        <v>0</v>
      </c>
      <c r="AI143" s="11" t="s">
        <v>49</v>
      </c>
      <c r="AJ143" s="25">
        <f>IF(AN143=0,J143,0)</f>
        <v>0</v>
      </c>
      <c r="AK143" s="25">
        <f>IF(AN143=12,J143,0)</f>
        <v>0</v>
      </c>
      <c r="AL143" s="25">
        <f>IF(AN143=21,J143,0)</f>
        <v>0</v>
      </c>
      <c r="AN143" s="25">
        <v>21</v>
      </c>
      <c r="AO143" s="25">
        <f>G143*0.72715863</f>
        <v>0</v>
      </c>
      <c r="AP143" s="25">
        <f>G143*(1-0.72715863)</f>
        <v>0</v>
      </c>
      <c r="AQ143" s="27" t="s">
        <v>87</v>
      </c>
      <c r="AV143" s="25">
        <f>AW143+AX143</f>
        <v>0</v>
      </c>
      <c r="AW143" s="25">
        <f>F143*AO143</f>
        <v>0</v>
      </c>
      <c r="AX143" s="25">
        <f>F143*AP143</f>
        <v>0</v>
      </c>
      <c r="AY143" s="27" t="s">
        <v>342</v>
      </c>
      <c r="AZ143" s="27" t="s">
        <v>343</v>
      </c>
      <c r="BA143" s="11" t="s">
        <v>59</v>
      </c>
      <c r="BC143" s="25">
        <f>AW143+AX143</f>
        <v>0</v>
      </c>
      <c r="BD143" s="25">
        <f>G143/(100-BE143)*100</f>
        <v>0</v>
      </c>
      <c r="BE143" s="25">
        <v>0</v>
      </c>
      <c r="BF143" s="25">
        <f>143</f>
        <v>143</v>
      </c>
      <c r="BH143" s="25">
        <f>F143*AO143</f>
        <v>0</v>
      </c>
      <c r="BI143" s="25">
        <f>F143*AP143</f>
        <v>0</v>
      </c>
      <c r="BJ143" s="25">
        <f>F143*G143</f>
        <v>0</v>
      </c>
      <c r="BK143" s="25"/>
      <c r="BL143" s="25">
        <v>762</v>
      </c>
      <c r="BW143" s="25">
        <v>21</v>
      </c>
      <c r="BX143" s="5" t="s">
        <v>366</v>
      </c>
    </row>
    <row r="144" spans="1:76" ht="13.5" customHeight="1" x14ac:dyDescent="0.25">
      <c r="A144" s="28"/>
      <c r="B144" s="29" t="s">
        <v>60</v>
      </c>
      <c r="C144" s="77" t="s">
        <v>367</v>
      </c>
      <c r="D144" s="78"/>
      <c r="E144" s="78"/>
      <c r="F144" s="78"/>
      <c r="G144" s="78"/>
      <c r="H144" s="78"/>
      <c r="I144" s="78"/>
      <c r="J144" s="78"/>
      <c r="K144" s="79"/>
    </row>
    <row r="145" spans="1:76" x14ac:dyDescent="0.25">
      <c r="A145" s="2" t="s">
        <v>368</v>
      </c>
      <c r="B145" s="3" t="s">
        <v>369</v>
      </c>
      <c r="C145" s="69" t="s">
        <v>370</v>
      </c>
      <c r="D145" s="70"/>
      <c r="E145" s="3" t="s">
        <v>55</v>
      </c>
      <c r="F145" s="25">
        <v>9.9339999999999993</v>
      </c>
      <c r="G145" s="25">
        <v>0</v>
      </c>
      <c r="H145" s="25">
        <f>F145*AO145</f>
        <v>0</v>
      </c>
      <c r="I145" s="25">
        <f>F145*AP145</f>
        <v>0</v>
      </c>
      <c r="J145" s="25">
        <f>F145*G145</f>
        <v>0</v>
      </c>
      <c r="K145" s="26" t="s">
        <v>56</v>
      </c>
      <c r="Z145" s="25">
        <f>IF(AQ145="5",BJ145,0)</f>
        <v>0</v>
      </c>
      <c r="AB145" s="25">
        <f>IF(AQ145="1",BH145,0)</f>
        <v>0</v>
      </c>
      <c r="AC145" s="25">
        <f>IF(AQ145="1",BI145,0)</f>
        <v>0</v>
      </c>
      <c r="AD145" s="25">
        <f>IF(AQ145="7",BH145,0)</f>
        <v>0</v>
      </c>
      <c r="AE145" s="25">
        <f>IF(AQ145="7",BI145,0)</f>
        <v>0</v>
      </c>
      <c r="AF145" s="25">
        <f>IF(AQ145="2",BH145,0)</f>
        <v>0</v>
      </c>
      <c r="AG145" s="25">
        <f>IF(AQ145="2",BI145,0)</f>
        <v>0</v>
      </c>
      <c r="AH145" s="25">
        <f>IF(AQ145="0",BJ145,0)</f>
        <v>0</v>
      </c>
      <c r="AI145" s="11" t="s">
        <v>49</v>
      </c>
      <c r="AJ145" s="25">
        <f>IF(AN145=0,J145,0)</f>
        <v>0</v>
      </c>
      <c r="AK145" s="25">
        <f>IF(AN145=12,J145,0)</f>
        <v>0</v>
      </c>
      <c r="AL145" s="25">
        <f>IF(AN145=21,J145,0)</f>
        <v>0</v>
      </c>
      <c r="AN145" s="25">
        <v>21</v>
      </c>
      <c r="AO145" s="25">
        <f>G145*1.000000934</f>
        <v>0</v>
      </c>
      <c r="AP145" s="25">
        <f>G145*(1-1.000000934)</f>
        <v>0</v>
      </c>
      <c r="AQ145" s="27" t="s">
        <v>87</v>
      </c>
      <c r="AV145" s="25">
        <f>AW145+AX145</f>
        <v>0</v>
      </c>
      <c r="AW145" s="25">
        <f>F145*AO145</f>
        <v>0</v>
      </c>
      <c r="AX145" s="25">
        <f>F145*AP145</f>
        <v>0</v>
      </c>
      <c r="AY145" s="27" t="s">
        <v>342</v>
      </c>
      <c r="AZ145" s="27" t="s">
        <v>343</v>
      </c>
      <c r="BA145" s="11" t="s">
        <v>59</v>
      </c>
      <c r="BC145" s="25">
        <f>AW145+AX145</f>
        <v>0</v>
      </c>
      <c r="BD145" s="25">
        <f>G145/(100-BE145)*100</f>
        <v>0</v>
      </c>
      <c r="BE145" s="25">
        <v>0</v>
      </c>
      <c r="BF145" s="25">
        <f>145</f>
        <v>145</v>
      </c>
      <c r="BH145" s="25">
        <f>F145*AO145</f>
        <v>0</v>
      </c>
      <c r="BI145" s="25">
        <f>F145*AP145</f>
        <v>0</v>
      </c>
      <c r="BJ145" s="25">
        <f>F145*G145</f>
        <v>0</v>
      </c>
      <c r="BK145" s="25"/>
      <c r="BL145" s="25">
        <v>762</v>
      </c>
      <c r="BW145" s="25">
        <v>21</v>
      </c>
      <c r="BX145" s="5" t="s">
        <v>370</v>
      </c>
    </row>
    <row r="146" spans="1:76" x14ac:dyDescent="0.25">
      <c r="A146" s="2" t="s">
        <v>371</v>
      </c>
      <c r="B146" s="3" t="s">
        <v>372</v>
      </c>
      <c r="C146" s="69" t="s">
        <v>373</v>
      </c>
      <c r="D146" s="70"/>
      <c r="E146" s="3" t="s">
        <v>76</v>
      </c>
      <c r="F146" s="25">
        <v>10.154999999999999</v>
      </c>
      <c r="G146" s="25">
        <v>0</v>
      </c>
      <c r="H146" s="25">
        <f>F146*AO146</f>
        <v>0</v>
      </c>
      <c r="I146" s="25">
        <f>F146*AP146</f>
        <v>0</v>
      </c>
      <c r="J146" s="25">
        <f>F146*G146</f>
        <v>0</v>
      </c>
      <c r="K146" s="26" t="s">
        <v>56</v>
      </c>
      <c r="Z146" s="25">
        <f>IF(AQ146="5",BJ146,0)</f>
        <v>0</v>
      </c>
      <c r="AB146" s="25">
        <f>IF(AQ146="1",BH146,0)</f>
        <v>0</v>
      </c>
      <c r="AC146" s="25">
        <f>IF(AQ146="1",BI146,0)</f>
        <v>0</v>
      </c>
      <c r="AD146" s="25">
        <f>IF(AQ146="7",BH146,0)</f>
        <v>0</v>
      </c>
      <c r="AE146" s="25">
        <f>IF(AQ146="7",BI146,0)</f>
        <v>0</v>
      </c>
      <c r="AF146" s="25">
        <f>IF(AQ146="2",BH146,0)</f>
        <v>0</v>
      </c>
      <c r="AG146" s="25">
        <f>IF(AQ146="2",BI146,0)</f>
        <v>0</v>
      </c>
      <c r="AH146" s="25">
        <f>IF(AQ146="0",BJ146,0)</f>
        <v>0</v>
      </c>
      <c r="AI146" s="11" t="s">
        <v>49</v>
      </c>
      <c r="AJ146" s="25">
        <f>IF(AN146=0,J146,0)</f>
        <v>0</v>
      </c>
      <c r="AK146" s="25">
        <f>IF(AN146=12,J146,0)</f>
        <v>0</v>
      </c>
      <c r="AL146" s="25">
        <f>IF(AN146=21,J146,0)</f>
        <v>0</v>
      </c>
      <c r="AN146" s="25">
        <v>21</v>
      </c>
      <c r="AO146" s="25">
        <f>G146*0.089020198</f>
        <v>0</v>
      </c>
      <c r="AP146" s="25">
        <f>G146*(1-0.089020198)</f>
        <v>0</v>
      </c>
      <c r="AQ146" s="27" t="s">
        <v>87</v>
      </c>
      <c r="AV146" s="25">
        <f>AW146+AX146</f>
        <v>0</v>
      </c>
      <c r="AW146" s="25">
        <f>F146*AO146</f>
        <v>0</v>
      </c>
      <c r="AX146" s="25">
        <f>F146*AP146</f>
        <v>0</v>
      </c>
      <c r="AY146" s="27" t="s">
        <v>342</v>
      </c>
      <c r="AZ146" s="27" t="s">
        <v>343</v>
      </c>
      <c r="BA146" s="11" t="s">
        <v>59</v>
      </c>
      <c r="BC146" s="25">
        <f>AW146+AX146</f>
        <v>0</v>
      </c>
      <c r="BD146" s="25">
        <f>G146/(100-BE146)*100</f>
        <v>0</v>
      </c>
      <c r="BE146" s="25">
        <v>0</v>
      </c>
      <c r="BF146" s="25">
        <f>146</f>
        <v>146</v>
      </c>
      <c r="BH146" s="25">
        <f>F146*AO146</f>
        <v>0</v>
      </c>
      <c r="BI146" s="25">
        <f>F146*AP146</f>
        <v>0</v>
      </c>
      <c r="BJ146" s="25">
        <f>F146*G146</f>
        <v>0</v>
      </c>
      <c r="BK146" s="25"/>
      <c r="BL146" s="25">
        <v>762</v>
      </c>
      <c r="BW146" s="25">
        <v>21</v>
      </c>
      <c r="BX146" s="5" t="s">
        <v>373</v>
      </c>
    </row>
    <row r="147" spans="1:76" ht="13.5" customHeight="1" x14ac:dyDescent="0.25">
      <c r="A147" s="28"/>
      <c r="B147" s="29" t="s">
        <v>60</v>
      </c>
      <c r="C147" s="77" t="s">
        <v>374</v>
      </c>
      <c r="D147" s="78"/>
      <c r="E147" s="78"/>
      <c r="F147" s="78"/>
      <c r="G147" s="78"/>
      <c r="H147" s="78"/>
      <c r="I147" s="78"/>
      <c r="J147" s="78"/>
      <c r="K147" s="79"/>
    </row>
    <row r="148" spans="1:76" x14ac:dyDescent="0.25">
      <c r="A148" s="2" t="s">
        <v>375</v>
      </c>
      <c r="B148" s="3" t="s">
        <v>376</v>
      </c>
      <c r="C148" s="69" t="s">
        <v>377</v>
      </c>
      <c r="D148" s="70"/>
      <c r="E148" s="3" t="s">
        <v>76</v>
      </c>
      <c r="F148" s="25">
        <v>22.341000000000001</v>
      </c>
      <c r="G148" s="25">
        <v>0</v>
      </c>
      <c r="H148" s="25">
        <f>F148*AO148</f>
        <v>0</v>
      </c>
      <c r="I148" s="25">
        <f>F148*AP148</f>
        <v>0</v>
      </c>
      <c r="J148" s="25">
        <f>F148*G148</f>
        <v>0</v>
      </c>
      <c r="K148" s="26" t="s">
        <v>56</v>
      </c>
      <c r="Z148" s="25">
        <f>IF(AQ148="5",BJ148,0)</f>
        <v>0</v>
      </c>
      <c r="AB148" s="25">
        <f>IF(AQ148="1",BH148,0)</f>
        <v>0</v>
      </c>
      <c r="AC148" s="25">
        <f>IF(AQ148="1",BI148,0)</f>
        <v>0</v>
      </c>
      <c r="AD148" s="25">
        <f>IF(AQ148="7",BH148,0)</f>
        <v>0</v>
      </c>
      <c r="AE148" s="25">
        <f>IF(AQ148="7",BI148,0)</f>
        <v>0</v>
      </c>
      <c r="AF148" s="25">
        <f>IF(AQ148="2",BH148,0)</f>
        <v>0</v>
      </c>
      <c r="AG148" s="25">
        <f>IF(AQ148="2",BI148,0)</f>
        <v>0</v>
      </c>
      <c r="AH148" s="25">
        <f>IF(AQ148="0",BJ148,0)</f>
        <v>0</v>
      </c>
      <c r="AI148" s="11" t="s">
        <v>49</v>
      </c>
      <c r="AJ148" s="25">
        <f>IF(AN148=0,J148,0)</f>
        <v>0</v>
      </c>
      <c r="AK148" s="25">
        <f>IF(AN148=12,J148,0)</f>
        <v>0</v>
      </c>
      <c r="AL148" s="25">
        <f>IF(AN148=21,J148,0)</f>
        <v>0</v>
      </c>
      <c r="AN148" s="25">
        <v>21</v>
      </c>
      <c r="AO148" s="25">
        <f>G148*1</f>
        <v>0</v>
      </c>
      <c r="AP148" s="25">
        <f>G148*(1-1)</f>
        <v>0</v>
      </c>
      <c r="AQ148" s="27" t="s">
        <v>87</v>
      </c>
      <c r="AV148" s="25">
        <f>AW148+AX148</f>
        <v>0</v>
      </c>
      <c r="AW148" s="25">
        <f>F148*AO148</f>
        <v>0</v>
      </c>
      <c r="AX148" s="25">
        <f>F148*AP148</f>
        <v>0</v>
      </c>
      <c r="AY148" s="27" t="s">
        <v>342</v>
      </c>
      <c r="AZ148" s="27" t="s">
        <v>343</v>
      </c>
      <c r="BA148" s="11" t="s">
        <v>59</v>
      </c>
      <c r="BC148" s="25">
        <f>AW148+AX148</f>
        <v>0</v>
      </c>
      <c r="BD148" s="25">
        <f>G148/(100-BE148)*100</f>
        <v>0</v>
      </c>
      <c r="BE148" s="25">
        <v>0</v>
      </c>
      <c r="BF148" s="25">
        <f>148</f>
        <v>148</v>
      </c>
      <c r="BH148" s="25">
        <f>F148*AO148</f>
        <v>0</v>
      </c>
      <c r="BI148" s="25">
        <f>F148*AP148</f>
        <v>0</v>
      </c>
      <c r="BJ148" s="25">
        <f>F148*G148</f>
        <v>0</v>
      </c>
      <c r="BK148" s="25"/>
      <c r="BL148" s="25">
        <v>762</v>
      </c>
      <c r="BW148" s="25">
        <v>21</v>
      </c>
      <c r="BX148" s="5" t="s">
        <v>377</v>
      </c>
    </row>
    <row r="149" spans="1:76" x14ac:dyDescent="0.25">
      <c r="A149" s="2" t="s">
        <v>378</v>
      </c>
      <c r="B149" s="3" t="s">
        <v>379</v>
      </c>
      <c r="C149" s="69" t="s">
        <v>380</v>
      </c>
      <c r="D149" s="70"/>
      <c r="E149" s="3" t="s">
        <v>151</v>
      </c>
      <c r="F149" s="25">
        <v>16.925000000000001</v>
      </c>
      <c r="G149" s="25">
        <v>0</v>
      </c>
      <c r="H149" s="25">
        <f>F149*AO149</f>
        <v>0</v>
      </c>
      <c r="I149" s="25">
        <f>F149*AP149</f>
        <v>0</v>
      </c>
      <c r="J149" s="25">
        <f>F149*G149</f>
        <v>0</v>
      </c>
      <c r="K149" s="26" t="s">
        <v>56</v>
      </c>
      <c r="Z149" s="25">
        <f>IF(AQ149="5",BJ149,0)</f>
        <v>0</v>
      </c>
      <c r="AB149" s="25">
        <f>IF(AQ149="1",BH149,0)</f>
        <v>0</v>
      </c>
      <c r="AC149" s="25">
        <f>IF(AQ149="1",BI149,0)</f>
        <v>0</v>
      </c>
      <c r="AD149" s="25">
        <f>IF(AQ149="7",BH149,0)</f>
        <v>0</v>
      </c>
      <c r="AE149" s="25">
        <f>IF(AQ149="7",BI149,0)</f>
        <v>0</v>
      </c>
      <c r="AF149" s="25">
        <f>IF(AQ149="2",BH149,0)</f>
        <v>0</v>
      </c>
      <c r="AG149" s="25">
        <f>IF(AQ149="2",BI149,0)</f>
        <v>0</v>
      </c>
      <c r="AH149" s="25">
        <f>IF(AQ149="0",BJ149,0)</f>
        <v>0</v>
      </c>
      <c r="AI149" s="11" t="s">
        <v>49</v>
      </c>
      <c r="AJ149" s="25">
        <f>IF(AN149=0,J149,0)</f>
        <v>0</v>
      </c>
      <c r="AK149" s="25">
        <f>IF(AN149=12,J149,0)</f>
        <v>0</v>
      </c>
      <c r="AL149" s="25">
        <f>IF(AN149=21,J149,0)</f>
        <v>0</v>
      </c>
      <c r="AN149" s="25">
        <v>21</v>
      </c>
      <c r="AO149" s="25">
        <f>G149*0.683594507</f>
        <v>0</v>
      </c>
      <c r="AP149" s="25">
        <f>G149*(1-0.683594507)</f>
        <v>0</v>
      </c>
      <c r="AQ149" s="27" t="s">
        <v>87</v>
      </c>
      <c r="AV149" s="25">
        <f>AW149+AX149</f>
        <v>0</v>
      </c>
      <c r="AW149" s="25">
        <f>F149*AO149</f>
        <v>0</v>
      </c>
      <c r="AX149" s="25">
        <f>F149*AP149</f>
        <v>0</v>
      </c>
      <c r="AY149" s="27" t="s">
        <v>342</v>
      </c>
      <c r="AZ149" s="27" t="s">
        <v>343</v>
      </c>
      <c r="BA149" s="11" t="s">
        <v>59</v>
      </c>
      <c r="BC149" s="25">
        <f>AW149+AX149</f>
        <v>0</v>
      </c>
      <c r="BD149" s="25">
        <f>G149/(100-BE149)*100</f>
        <v>0</v>
      </c>
      <c r="BE149" s="25">
        <v>0</v>
      </c>
      <c r="BF149" s="25">
        <f>149</f>
        <v>149</v>
      </c>
      <c r="BH149" s="25">
        <f>F149*AO149</f>
        <v>0</v>
      </c>
      <c r="BI149" s="25">
        <f>F149*AP149</f>
        <v>0</v>
      </c>
      <c r="BJ149" s="25">
        <f>F149*G149</f>
        <v>0</v>
      </c>
      <c r="BK149" s="25"/>
      <c r="BL149" s="25">
        <v>762</v>
      </c>
      <c r="BW149" s="25">
        <v>21</v>
      </c>
      <c r="BX149" s="5" t="s">
        <v>380</v>
      </c>
    </row>
    <row r="150" spans="1:76" ht="13.5" customHeight="1" x14ac:dyDescent="0.25">
      <c r="A150" s="28"/>
      <c r="B150" s="29" t="s">
        <v>60</v>
      </c>
      <c r="C150" s="77" t="s">
        <v>381</v>
      </c>
      <c r="D150" s="78"/>
      <c r="E150" s="78"/>
      <c r="F150" s="78"/>
      <c r="G150" s="78"/>
      <c r="H150" s="78"/>
      <c r="I150" s="78"/>
      <c r="J150" s="78"/>
      <c r="K150" s="79"/>
    </row>
    <row r="151" spans="1:76" x14ac:dyDescent="0.25">
      <c r="A151" s="2" t="s">
        <v>382</v>
      </c>
      <c r="B151" s="3" t="s">
        <v>383</v>
      </c>
      <c r="C151" s="69" t="s">
        <v>384</v>
      </c>
      <c r="D151" s="70"/>
      <c r="E151" s="3" t="s">
        <v>55</v>
      </c>
      <c r="F151" s="25">
        <v>0.20399999999999999</v>
      </c>
      <c r="G151" s="25">
        <v>0</v>
      </c>
      <c r="H151" s="25">
        <f>F151*AO151</f>
        <v>0</v>
      </c>
      <c r="I151" s="25">
        <f>F151*AP151</f>
        <v>0</v>
      </c>
      <c r="J151" s="25">
        <f>F151*G151</f>
        <v>0</v>
      </c>
      <c r="K151" s="26" t="s">
        <v>56</v>
      </c>
      <c r="Z151" s="25">
        <f>IF(AQ151="5",BJ151,0)</f>
        <v>0</v>
      </c>
      <c r="AB151" s="25">
        <f>IF(AQ151="1",BH151,0)</f>
        <v>0</v>
      </c>
      <c r="AC151" s="25">
        <f>IF(AQ151="1",BI151,0)</f>
        <v>0</v>
      </c>
      <c r="AD151" s="25">
        <f>IF(AQ151="7",BH151,0)</f>
        <v>0</v>
      </c>
      <c r="AE151" s="25">
        <f>IF(AQ151="7",BI151,0)</f>
        <v>0</v>
      </c>
      <c r="AF151" s="25">
        <f>IF(AQ151="2",BH151,0)</f>
        <v>0</v>
      </c>
      <c r="AG151" s="25">
        <f>IF(AQ151="2",BI151,0)</f>
        <v>0</v>
      </c>
      <c r="AH151" s="25">
        <f>IF(AQ151="0",BJ151,0)</f>
        <v>0</v>
      </c>
      <c r="AI151" s="11" t="s">
        <v>49</v>
      </c>
      <c r="AJ151" s="25">
        <f>IF(AN151=0,J151,0)</f>
        <v>0</v>
      </c>
      <c r="AK151" s="25">
        <f>IF(AN151=12,J151,0)</f>
        <v>0</v>
      </c>
      <c r="AL151" s="25">
        <f>IF(AN151=21,J151,0)</f>
        <v>0</v>
      </c>
      <c r="AN151" s="25">
        <v>21</v>
      </c>
      <c r="AO151" s="25">
        <f>G151*0.999690265</f>
        <v>0</v>
      </c>
      <c r="AP151" s="25">
        <f>G151*(1-0.999690265)</f>
        <v>0</v>
      </c>
      <c r="AQ151" s="27" t="s">
        <v>87</v>
      </c>
      <c r="AV151" s="25">
        <f>AW151+AX151</f>
        <v>0</v>
      </c>
      <c r="AW151" s="25">
        <f>F151*AO151</f>
        <v>0</v>
      </c>
      <c r="AX151" s="25">
        <f>F151*AP151</f>
        <v>0</v>
      </c>
      <c r="AY151" s="27" t="s">
        <v>342</v>
      </c>
      <c r="AZ151" s="27" t="s">
        <v>343</v>
      </c>
      <c r="BA151" s="11" t="s">
        <v>59</v>
      </c>
      <c r="BC151" s="25">
        <f>AW151+AX151</f>
        <v>0</v>
      </c>
      <c r="BD151" s="25">
        <f>G151/(100-BE151)*100</f>
        <v>0</v>
      </c>
      <c r="BE151" s="25">
        <v>0</v>
      </c>
      <c r="BF151" s="25">
        <f>151</f>
        <v>151</v>
      </c>
      <c r="BH151" s="25">
        <f>F151*AO151</f>
        <v>0</v>
      </c>
      <c r="BI151" s="25">
        <f>F151*AP151</f>
        <v>0</v>
      </c>
      <c r="BJ151" s="25">
        <f>F151*G151</f>
        <v>0</v>
      </c>
      <c r="BK151" s="25"/>
      <c r="BL151" s="25">
        <v>762</v>
      </c>
      <c r="BW151" s="25">
        <v>21</v>
      </c>
      <c r="BX151" s="5" t="s">
        <v>384</v>
      </c>
    </row>
    <row r="152" spans="1:76" x14ac:dyDescent="0.25">
      <c r="A152" s="2" t="s">
        <v>385</v>
      </c>
      <c r="B152" s="3" t="s">
        <v>386</v>
      </c>
      <c r="C152" s="69" t="s">
        <v>387</v>
      </c>
      <c r="D152" s="70"/>
      <c r="E152" s="3" t="s">
        <v>128</v>
      </c>
      <c r="F152" s="25">
        <v>2</v>
      </c>
      <c r="G152" s="25">
        <v>0</v>
      </c>
      <c r="H152" s="25">
        <f>F152*AO152</f>
        <v>0</v>
      </c>
      <c r="I152" s="25">
        <f>F152*AP152</f>
        <v>0</v>
      </c>
      <c r="J152" s="25">
        <f>F152*G152</f>
        <v>0</v>
      </c>
      <c r="K152" s="26" t="s">
        <v>56</v>
      </c>
      <c r="Z152" s="25">
        <f>IF(AQ152="5",BJ152,0)</f>
        <v>0</v>
      </c>
      <c r="AB152" s="25">
        <f>IF(AQ152="1",BH152,0)</f>
        <v>0</v>
      </c>
      <c r="AC152" s="25">
        <f>IF(AQ152="1",BI152,0)</f>
        <v>0</v>
      </c>
      <c r="AD152" s="25">
        <f>IF(AQ152="7",BH152,0)</f>
        <v>0</v>
      </c>
      <c r="AE152" s="25">
        <f>IF(AQ152="7",BI152,0)</f>
        <v>0</v>
      </c>
      <c r="AF152" s="25">
        <f>IF(AQ152="2",BH152,0)</f>
        <v>0</v>
      </c>
      <c r="AG152" s="25">
        <f>IF(AQ152="2",BI152,0)</f>
        <v>0</v>
      </c>
      <c r="AH152" s="25">
        <f>IF(AQ152="0",BJ152,0)</f>
        <v>0</v>
      </c>
      <c r="AI152" s="11" t="s">
        <v>49</v>
      </c>
      <c r="AJ152" s="25">
        <f>IF(AN152=0,J152,0)</f>
        <v>0</v>
      </c>
      <c r="AK152" s="25">
        <f>IF(AN152=12,J152,0)</f>
        <v>0</v>
      </c>
      <c r="AL152" s="25">
        <f>IF(AN152=21,J152,0)</f>
        <v>0</v>
      </c>
      <c r="AN152" s="25">
        <v>21</v>
      </c>
      <c r="AO152" s="25">
        <f>G152*1</f>
        <v>0</v>
      </c>
      <c r="AP152" s="25">
        <f>G152*(1-1)</f>
        <v>0</v>
      </c>
      <c r="AQ152" s="27" t="s">
        <v>87</v>
      </c>
      <c r="AV152" s="25">
        <f>AW152+AX152</f>
        <v>0</v>
      </c>
      <c r="AW152" s="25">
        <f>F152*AO152</f>
        <v>0</v>
      </c>
      <c r="AX152" s="25">
        <f>F152*AP152</f>
        <v>0</v>
      </c>
      <c r="AY152" s="27" t="s">
        <v>342</v>
      </c>
      <c r="AZ152" s="27" t="s">
        <v>343</v>
      </c>
      <c r="BA152" s="11" t="s">
        <v>59</v>
      </c>
      <c r="BC152" s="25">
        <f>AW152+AX152</f>
        <v>0</v>
      </c>
      <c r="BD152" s="25">
        <f>G152/(100-BE152)*100</f>
        <v>0</v>
      </c>
      <c r="BE152" s="25">
        <v>0</v>
      </c>
      <c r="BF152" s="25">
        <f>152</f>
        <v>152</v>
      </c>
      <c r="BH152" s="25">
        <f>F152*AO152</f>
        <v>0</v>
      </c>
      <c r="BI152" s="25">
        <f>F152*AP152</f>
        <v>0</v>
      </c>
      <c r="BJ152" s="25">
        <f>F152*G152</f>
        <v>0</v>
      </c>
      <c r="BK152" s="25"/>
      <c r="BL152" s="25">
        <v>762</v>
      </c>
      <c r="BW152" s="25">
        <v>21</v>
      </c>
      <c r="BX152" s="5" t="s">
        <v>387</v>
      </c>
    </row>
    <row r="153" spans="1:76" x14ac:dyDescent="0.25">
      <c r="A153" s="2" t="s">
        <v>388</v>
      </c>
      <c r="B153" s="3" t="s">
        <v>389</v>
      </c>
      <c r="C153" s="69" t="s">
        <v>390</v>
      </c>
      <c r="D153" s="70"/>
      <c r="E153" s="3" t="s">
        <v>100</v>
      </c>
      <c r="F153" s="25">
        <v>4.5919999999999996</v>
      </c>
      <c r="G153" s="25">
        <v>0</v>
      </c>
      <c r="H153" s="25">
        <f>F153*AO153</f>
        <v>0</v>
      </c>
      <c r="I153" s="25">
        <f>F153*AP153</f>
        <v>0</v>
      </c>
      <c r="J153" s="25">
        <f>F153*G153</f>
        <v>0</v>
      </c>
      <c r="K153" s="26" t="s">
        <v>56</v>
      </c>
      <c r="Z153" s="25">
        <f>IF(AQ153="5",BJ153,0)</f>
        <v>0</v>
      </c>
      <c r="AB153" s="25">
        <f>IF(AQ153="1",BH153,0)</f>
        <v>0</v>
      </c>
      <c r="AC153" s="25">
        <f>IF(AQ153="1",BI153,0)</f>
        <v>0</v>
      </c>
      <c r="AD153" s="25">
        <f>IF(AQ153="7",BH153,0)</f>
        <v>0</v>
      </c>
      <c r="AE153" s="25">
        <f>IF(AQ153="7",BI153,0)</f>
        <v>0</v>
      </c>
      <c r="AF153" s="25">
        <f>IF(AQ153="2",BH153,0)</f>
        <v>0</v>
      </c>
      <c r="AG153" s="25">
        <f>IF(AQ153="2",BI153,0)</f>
        <v>0</v>
      </c>
      <c r="AH153" s="25">
        <f>IF(AQ153="0",BJ153,0)</f>
        <v>0</v>
      </c>
      <c r="AI153" s="11" t="s">
        <v>49</v>
      </c>
      <c r="AJ153" s="25">
        <f>IF(AN153=0,J153,0)</f>
        <v>0</v>
      </c>
      <c r="AK153" s="25">
        <f>IF(AN153=12,J153,0)</f>
        <v>0</v>
      </c>
      <c r="AL153" s="25">
        <f>IF(AN153=21,J153,0)</f>
        <v>0</v>
      </c>
      <c r="AN153" s="25">
        <v>21</v>
      </c>
      <c r="AO153" s="25">
        <f>G153*0</f>
        <v>0</v>
      </c>
      <c r="AP153" s="25">
        <f>G153*(1-0)</f>
        <v>0</v>
      </c>
      <c r="AQ153" s="27" t="s">
        <v>73</v>
      </c>
      <c r="AV153" s="25">
        <f>AW153+AX153</f>
        <v>0</v>
      </c>
      <c r="AW153" s="25">
        <f>F153*AO153</f>
        <v>0</v>
      </c>
      <c r="AX153" s="25">
        <f>F153*AP153</f>
        <v>0</v>
      </c>
      <c r="AY153" s="27" t="s">
        <v>342</v>
      </c>
      <c r="AZ153" s="27" t="s">
        <v>343</v>
      </c>
      <c r="BA153" s="11" t="s">
        <v>59</v>
      </c>
      <c r="BC153" s="25">
        <f>AW153+AX153</f>
        <v>0</v>
      </c>
      <c r="BD153" s="25">
        <f>G153/(100-BE153)*100</f>
        <v>0</v>
      </c>
      <c r="BE153" s="25">
        <v>0</v>
      </c>
      <c r="BF153" s="25">
        <f>153</f>
        <v>153</v>
      </c>
      <c r="BH153" s="25">
        <f>F153*AO153</f>
        <v>0</v>
      </c>
      <c r="BI153" s="25">
        <f>F153*AP153</f>
        <v>0</v>
      </c>
      <c r="BJ153" s="25">
        <f>F153*G153</f>
        <v>0</v>
      </c>
      <c r="BK153" s="25"/>
      <c r="BL153" s="25">
        <v>762</v>
      </c>
      <c r="BW153" s="25">
        <v>21</v>
      </c>
      <c r="BX153" s="5" t="s">
        <v>390</v>
      </c>
    </row>
    <row r="154" spans="1:76" x14ac:dyDescent="0.25">
      <c r="A154" s="30" t="s">
        <v>49</v>
      </c>
      <c r="B154" s="31" t="s">
        <v>391</v>
      </c>
      <c r="C154" s="71" t="s">
        <v>392</v>
      </c>
      <c r="D154" s="72"/>
      <c r="E154" s="32" t="s">
        <v>3</v>
      </c>
      <c r="F154" s="32" t="s">
        <v>3</v>
      </c>
      <c r="G154" s="32" t="s">
        <v>3</v>
      </c>
      <c r="H154" s="1">
        <f>SUM(H155:H162)</f>
        <v>0</v>
      </c>
      <c r="I154" s="1">
        <f>SUM(I155:I162)</f>
        <v>0</v>
      </c>
      <c r="J154" s="1">
        <f>SUM(J155:J162)</f>
        <v>0</v>
      </c>
      <c r="K154" s="33" t="s">
        <v>49</v>
      </c>
      <c r="AI154" s="11" t="s">
        <v>49</v>
      </c>
      <c r="AS154" s="1">
        <f>SUM(AJ155:AJ162)</f>
        <v>0</v>
      </c>
      <c r="AT154" s="1">
        <f>SUM(AK155:AK162)</f>
        <v>0</v>
      </c>
      <c r="AU154" s="1">
        <f>SUM(AL155:AL162)</f>
        <v>0</v>
      </c>
    </row>
    <row r="155" spans="1:76" x14ac:dyDescent="0.25">
      <c r="A155" s="2" t="s">
        <v>393</v>
      </c>
      <c r="B155" s="3" t="s">
        <v>394</v>
      </c>
      <c r="C155" s="69" t="s">
        <v>395</v>
      </c>
      <c r="D155" s="70"/>
      <c r="E155" s="3" t="s">
        <v>76</v>
      </c>
      <c r="F155" s="25">
        <v>88.736000000000004</v>
      </c>
      <c r="G155" s="25">
        <v>0</v>
      </c>
      <c r="H155" s="25">
        <f>F155*AO155</f>
        <v>0</v>
      </c>
      <c r="I155" s="25">
        <f>F155*AP155</f>
        <v>0</v>
      </c>
      <c r="J155" s="25">
        <f>F155*G155</f>
        <v>0</v>
      </c>
      <c r="K155" s="26" t="s">
        <v>56</v>
      </c>
      <c r="Z155" s="25">
        <f>IF(AQ155="5",BJ155,0)</f>
        <v>0</v>
      </c>
      <c r="AB155" s="25">
        <f>IF(AQ155="1",BH155,0)</f>
        <v>0</v>
      </c>
      <c r="AC155" s="25">
        <f>IF(AQ155="1",BI155,0)</f>
        <v>0</v>
      </c>
      <c r="AD155" s="25">
        <f>IF(AQ155="7",BH155,0)</f>
        <v>0</v>
      </c>
      <c r="AE155" s="25">
        <f>IF(AQ155="7",BI155,0)</f>
        <v>0</v>
      </c>
      <c r="AF155" s="25">
        <f>IF(AQ155="2",BH155,0)</f>
        <v>0</v>
      </c>
      <c r="AG155" s="25">
        <f>IF(AQ155="2",BI155,0)</f>
        <v>0</v>
      </c>
      <c r="AH155" s="25">
        <f>IF(AQ155="0",BJ155,0)</f>
        <v>0</v>
      </c>
      <c r="AI155" s="11" t="s">
        <v>49</v>
      </c>
      <c r="AJ155" s="25">
        <f>IF(AN155=0,J155,0)</f>
        <v>0</v>
      </c>
      <c r="AK155" s="25">
        <f>IF(AN155=12,J155,0)</f>
        <v>0</v>
      </c>
      <c r="AL155" s="25">
        <f>IF(AN155=21,J155,0)</f>
        <v>0</v>
      </c>
      <c r="AN155" s="25">
        <v>21</v>
      </c>
      <c r="AO155" s="25">
        <f>G155*0.601112297</f>
        <v>0</v>
      </c>
      <c r="AP155" s="25">
        <f>G155*(1-0.601112297)</f>
        <v>0</v>
      </c>
      <c r="AQ155" s="27" t="s">
        <v>87</v>
      </c>
      <c r="AV155" s="25">
        <f>AW155+AX155</f>
        <v>0</v>
      </c>
      <c r="AW155" s="25">
        <f>F155*AO155</f>
        <v>0</v>
      </c>
      <c r="AX155" s="25">
        <f>F155*AP155</f>
        <v>0</v>
      </c>
      <c r="AY155" s="27" t="s">
        <v>396</v>
      </c>
      <c r="AZ155" s="27" t="s">
        <v>343</v>
      </c>
      <c r="BA155" s="11" t="s">
        <v>59</v>
      </c>
      <c r="BC155" s="25">
        <f>AW155+AX155</f>
        <v>0</v>
      </c>
      <c r="BD155" s="25">
        <f>G155/(100-BE155)*100</f>
        <v>0</v>
      </c>
      <c r="BE155" s="25">
        <v>0</v>
      </c>
      <c r="BF155" s="25">
        <f>155</f>
        <v>155</v>
      </c>
      <c r="BH155" s="25">
        <f>F155*AO155</f>
        <v>0</v>
      </c>
      <c r="BI155" s="25">
        <f>F155*AP155</f>
        <v>0</v>
      </c>
      <c r="BJ155" s="25">
        <f>F155*G155</f>
        <v>0</v>
      </c>
      <c r="BK155" s="25"/>
      <c r="BL155" s="25">
        <v>764</v>
      </c>
      <c r="BW155" s="25">
        <v>21</v>
      </c>
      <c r="BX155" s="5" t="s">
        <v>395</v>
      </c>
    </row>
    <row r="156" spans="1:76" ht="13.5" customHeight="1" x14ac:dyDescent="0.25">
      <c r="A156" s="28"/>
      <c r="B156" s="29" t="s">
        <v>60</v>
      </c>
      <c r="C156" s="77" t="s">
        <v>397</v>
      </c>
      <c r="D156" s="78"/>
      <c r="E156" s="78"/>
      <c r="F156" s="78"/>
      <c r="G156" s="78"/>
      <c r="H156" s="78"/>
      <c r="I156" s="78"/>
      <c r="J156" s="78"/>
      <c r="K156" s="79"/>
    </row>
    <row r="157" spans="1:76" x14ac:dyDescent="0.25">
      <c r="A157" s="2" t="s">
        <v>398</v>
      </c>
      <c r="B157" s="3" t="s">
        <v>399</v>
      </c>
      <c r="C157" s="69" t="s">
        <v>400</v>
      </c>
      <c r="D157" s="70"/>
      <c r="E157" s="3" t="s">
        <v>151</v>
      </c>
      <c r="F157" s="25">
        <v>22.2</v>
      </c>
      <c r="G157" s="25">
        <v>0</v>
      </c>
      <c r="H157" s="25">
        <f>F157*AO157</f>
        <v>0</v>
      </c>
      <c r="I157" s="25">
        <f>F157*AP157</f>
        <v>0</v>
      </c>
      <c r="J157" s="25">
        <f>F157*G157</f>
        <v>0</v>
      </c>
      <c r="K157" s="26" t="s">
        <v>56</v>
      </c>
      <c r="Z157" s="25">
        <f>IF(AQ157="5",BJ157,0)</f>
        <v>0</v>
      </c>
      <c r="AB157" s="25">
        <f>IF(AQ157="1",BH157,0)</f>
        <v>0</v>
      </c>
      <c r="AC157" s="25">
        <f>IF(AQ157="1",BI157,0)</f>
        <v>0</v>
      </c>
      <c r="AD157" s="25">
        <f>IF(AQ157="7",BH157,0)</f>
        <v>0</v>
      </c>
      <c r="AE157" s="25">
        <f>IF(AQ157="7",BI157,0)</f>
        <v>0</v>
      </c>
      <c r="AF157" s="25">
        <f>IF(AQ157="2",BH157,0)</f>
        <v>0</v>
      </c>
      <c r="AG157" s="25">
        <f>IF(AQ157="2",BI157,0)</f>
        <v>0</v>
      </c>
      <c r="AH157" s="25">
        <f>IF(AQ157="0",BJ157,0)</f>
        <v>0</v>
      </c>
      <c r="AI157" s="11" t="s">
        <v>49</v>
      </c>
      <c r="AJ157" s="25">
        <f>IF(AN157=0,J157,0)</f>
        <v>0</v>
      </c>
      <c r="AK157" s="25">
        <f>IF(AN157=12,J157,0)</f>
        <v>0</v>
      </c>
      <c r="AL157" s="25">
        <f>IF(AN157=21,J157,0)</f>
        <v>0</v>
      </c>
      <c r="AN157" s="25">
        <v>21</v>
      </c>
      <c r="AO157" s="25">
        <f>G157*0.735526316</f>
        <v>0</v>
      </c>
      <c r="AP157" s="25">
        <f>G157*(1-0.735526316)</f>
        <v>0</v>
      </c>
      <c r="AQ157" s="27" t="s">
        <v>87</v>
      </c>
      <c r="AV157" s="25">
        <f>AW157+AX157</f>
        <v>0</v>
      </c>
      <c r="AW157" s="25">
        <f>F157*AO157</f>
        <v>0</v>
      </c>
      <c r="AX157" s="25">
        <f>F157*AP157</f>
        <v>0</v>
      </c>
      <c r="AY157" s="27" t="s">
        <v>396</v>
      </c>
      <c r="AZ157" s="27" t="s">
        <v>343</v>
      </c>
      <c r="BA157" s="11" t="s">
        <v>59</v>
      </c>
      <c r="BC157" s="25">
        <f>AW157+AX157</f>
        <v>0</v>
      </c>
      <c r="BD157" s="25">
        <f>G157/(100-BE157)*100</f>
        <v>0</v>
      </c>
      <c r="BE157" s="25">
        <v>0</v>
      </c>
      <c r="BF157" s="25">
        <f>157</f>
        <v>157</v>
      </c>
      <c r="BH157" s="25">
        <f>F157*AO157</f>
        <v>0</v>
      </c>
      <c r="BI157" s="25">
        <f>F157*AP157</f>
        <v>0</v>
      </c>
      <c r="BJ157" s="25">
        <f>F157*G157</f>
        <v>0</v>
      </c>
      <c r="BK157" s="25"/>
      <c r="BL157" s="25">
        <v>764</v>
      </c>
      <c r="BW157" s="25">
        <v>21</v>
      </c>
      <c r="BX157" s="5" t="s">
        <v>400</v>
      </c>
    </row>
    <row r="158" spans="1:76" x14ac:dyDescent="0.25">
      <c r="A158" s="2" t="s">
        <v>401</v>
      </c>
      <c r="B158" s="3" t="s">
        <v>402</v>
      </c>
      <c r="C158" s="69" t="s">
        <v>403</v>
      </c>
      <c r="D158" s="70"/>
      <c r="E158" s="3" t="s">
        <v>128</v>
      </c>
      <c r="F158" s="25">
        <v>2</v>
      </c>
      <c r="G158" s="25">
        <v>0</v>
      </c>
      <c r="H158" s="25">
        <f>F158*AO158</f>
        <v>0</v>
      </c>
      <c r="I158" s="25">
        <f>F158*AP158</f>
        <v>0</v>
      </c>
      <c r="J158" s="25">
        <f>F158*G158</f>
        <v>0</v>
      </c>
      <c r="K158" s="26" t="s">
        <v>56</v>
      </c>
      <c r="Z158" s="25">
        <f>IF(AQ158="5",BJ158,0)</f>
        <v>0</v>
      </c>
      <c r="AB158" s="25">
        <f>IF(AQ158="1",BH158,0)</f>
        <v>0</v>
      </c>
      <c r="AC158" s="25">
        <f>IF(AQ158="1",BI158,0)</f>
        <v>0</v>
      </c>
      <c r="AD158" s="25">
        <f>IF(AQ158="7",BH158,0)</f>
        <v>0</v>
      </c>
      <c r="AE158" s="25">
        <f>IF(AQ158="7",BI158,0)</f>
        <v>0</v>
      </c>
      <c r="AF158" s="25">
        <f>IF(AQ158="2",BH158,0)</f>
        <v>0</v>
      </c>
      <c r="AG158" s="25">
        <f>IF(AQ158="2",BI158,0)</f>
        <v>0</v>
      </c>
      <c r="AH158" s="25">
        <f>IF(AQ158="0",BJ158,0)</f>
        <v>0</v>
      </c>
      <c r="AI158" s="11" t="s">
        <v>49</v>
      </c>
      <c r="AJ158" s="25">
        <f>IF(AN158=0,J158,0)</f>
        <v>0</v>
      </c>
      <c r="AK158" s="25">
        <f>IF(AN158=12,J158,0)</f>
        <v>0</v>
      </c>
      <c r="AL158" s="25">
        <f>IF(AN158=21,J158,0)</f>
        <v>0</v>
      </c>
      <c r="AN158" s="25">
        <v>21</v>
      </c>
      <c r="AO158" s="25">
        <f>G158*0.573815126</f>
        <v>0</v>
      </c>
      <c r="AP158" s="25">
        <f>G158*(1-0.573815126)</f>
        <v>0</v>
      </c>
      <c r="AQ158" s="27" t="s">
        <v>87</v>
      </c>
      <c r="AV158" s="25">
        <f>AW158+AX158</f>
        <v>0</v>
      </c>
      <c r="AW158" s="25">
        <f>F158*AO158</f>
        <v>0</v>
      </c>
      <c r="AX158" s="25">
        <f>F158*AP158</f>
        <v>0</v>
      </c>
      <c r="AY158" s="27" t="s">
        <v>396</v>
      </c>
      <c r="AZ158" s="27" t="s">
        <v>343</v>
      </c>
      <c r="BA158" s="11" t="s">
        <v>59</v>
      </c>
      <c r="BC158" s="25">
        <f>AW158+AX158</f>
        <v>0</v>
      </c>
      <c r="BD158" s="25">
        <f>G158/(100-BE158)*100</f>
        <v>0</v>
      </c>
      <c r="BE158" s="25">
        <v>0</v>
      </c>
      <c r="BF158" s="25">
        <f>158</f>
        <v>158</v>
      </c>
      <c r="BH158" s="25">
        <f>F158*AO158</f>
        <v>0</v>
      </c>
      <c r="BI158" s="25">
        <f>F158*AP158</f>
        <v>0</v>
      </c>
      <c r="BJ158" s="25">
        <f>F158*G158</f>
        <v>0</v>
      </c>
      <c r="BK158" s="25"/>
      <c r="BL158" s="25">
        <v>764</v>
      </c>
      <c r="BW158" s="25">
        <v>21</v>
      </c>
      <c r="BX158" s="5" t="s">
        <v>403</v>
      </c>
    </row>
    <row r="159" spans="1:76" x14ac:dyDescent="0.25">
      <c r="A159" s="2" t="s">
        <v>404</v>
      </c>
      <c r="B159" s="3" t="s">
        <v>405</v>
      </c>
      <c r="C159" s="69" t="s">
        <v>406</v>
      </c>
      <c r="D159" s="70"/>
      <c r="E159" s="3" t="s">
        <v>151</v>
      </c>
      <c r="F159" s="25">
        <v>6.3</v>
      </c>
      <c r="G159" s="25">
        <v>0</v>
      </c>
      <c r="H159" s="25">
        <f>F159*AO159</f>
        <v>0</v>
      </c>
      <c r="I159" s="25">
        <f>F159*AP159</f>
        <v>0</v>
      </c>
      <c r="J159" s="25">
        <f>F159*G159</f>
        <v>0</v>
      </c>
      <c r="K159" s="26" t="s">
        <v>56</v>
      </c>
      <c r="Z159" s="25">
        <f>IF(AQ159="5",BJ159,0)</f>
        <v>0</v>
      </c>
      <c r="AB159" s="25">
        <f>IF(AQ159="1",BH159,0)</f>
        <v>0</v>
      </c>
      <c r="AC159" s="25">
        <f>IF(AQ159="1",BI159,0)</f>
        <v>0</v>
      </c>
      <c r="AD159" s="25">
        <f>IF(AQ159="7",BH159,0)</f>
        <v>0</v>
      </c>
      <c r="AE159" s="25">
        <f>IF(AQ159="7",BI159,0)</f>
        <v>0</v>
      </c>
      <c r="AF159" s="25">
        <f>IF(AQ159="2",BH159,0)</f>
        <v>0</v>
      </c>
      <c r="AG159" s="25">
        <f>IF(AQ159="2",BI159,0)</f>
        <v>0</v>
      </c>
      <c r="AH159" s="25">
        <f>IF(AQ159="0",BJ159,0)</f>
        <v>0</v>
      </c>
      <c r="AI159" s="11" t="s">
        <v>49</v>
      </c>
      <c r="AJ159" s="25">
        <f>IF(AN159=0,J159,0)</f>
        <v>0</v>
      </c>
      <c r="AK159" s="25">
        <f>IF(AN159=12,J159,0)</f>
        <v>0</v>
      </c>
      <c r="AL159" s="25">
        <f>IF(AN159=21,J159,0)</f>
        <v>0</v>
      </c>
      <c r="AN159" s="25">
        <v>21</v>
      </c>
      <c r="AO159" s="25">
        <f>G159*0.788028169</f>
        <v>0</v>
      </c>
      <c r="AP159" s="25">
        <f>G159*(1-0.788028169)</f>
        <v>0</v>
      </c>
      <c r="AQ159" s="27" t="s">
        <v>87</v>
      </c>
      <c r="AV159" s="25">
        <f>AW159+AX159</f>
        <v>0</v>
      </c>
      <c r="AW159" s="25">
        <f>F159*AO159</f>
        <v>0</v>
      </c>
      <c r="AX159" s="25">
        <f>F159*AP159</f>
        <v>0</v>
      </c>
      <c r="AY159" s="27" t="s">
        <v>396</v>
      </c>
      <c r="AZ159" s="27" t="s">
        <v>343</v>
      </c>
      <c r="BA159" s="11" t="s">
        <v>59</v>
      </c>
      <c r="BC159" s="25">
        <f>AW159+AX159</f>
        <v>0</v>
      </c>
      <c r="BD159" s="25">
        <f>G159/(100-BE159)*100</f>
        <v>0</v>
      </c>
      <c r="BE159" s="25">
        <v>0</v>
      </c>
      <c r="BF159" s="25">
        <f>159</f>
        <v>159</v>
      </c>
      <c r="BH159" s="25">
        <f>F159*AO159</f>
        <v>0</v>
      </c>
      <c r="BI159" s="25">
        <f>F159*AP159</f>
        <v>0</v>
      </c>
      <c r="BJ159" s="25">
        <f>F159*G159</f>
        <v>0</v>
      </c>
      <c r="BK159" s="25"/>
      <c r="BL159" s="25">
        <v>764</v>
      </c>
      <c r="BW159" s="25">
        <v>21</v>
      </c>
      <c r="BX159" s="5" t="s">
        <v>406</v>
      </c>
    </row>
    <row r="160" spans="1:76" x14ac:dyDescent="0.25">
      <c r="A160" s="2" t="s">
        <v>407</v>
      </c>
      <c r="B160" s="3" t="s">
        <v>408</v>
      </c>
      <c r="C160" s="69" t="s">
        <v>409</v>
      </c>
      <c r="D160" s="70"/>
      <c r="E160" s="3" t="s">
        <v>151</v>
      </c>
      <c r="F160" s="25">
        <v>2</v>
      </c>
      <c r="G160" s="25">
        <v>0</v>
      </c>
      <c r="H160" s="25">
        <f>F160*AO160</f>
        <v>0</v>
      </c>
      <c r="I160" s="25">
        <f>F160*AP160</f>
        <v>0</v>
      </c>
      <c r="J160" s="25">
        <f>F160*G160</f>
        <v>0</v>
      </c>
      <c r="K160" s="26" t="s">
        <v>56</v>
      </c>
      <c r="Z160" s="25">
        <f>IF(AQ160="5",BJ160,0)</f>
        <v>0</v>
      </c>
      <c r="AB160" s="25">
        <f>IF(AQ160="1",BH160,0)</f>
        <v>0</v>
      </c>
      <c r="AC160" s="25">
        <f>IF(AQ160="1",BI160,0)</f>
        <v>0</v>
      </c>
      <c r="AD160" s="25">
        <f>IF(AQ160="7",BH160,0)</f>
        <v>0</v>
      </c>
      <c r="AE160" s="25">
        <f>IF(AQ160="7",BI160,0)</f>
        <v>0</v>
      </c>
      <c r="AF160" s="25">
        <f>IF(AQ160="2",BH160,0)</f>
        <v>0</v>
      </c>
      <c r="AG160" s="25">
        <f>IF(AQ160="2",BI160,0)</f>
        <v>0</v>
      </c>
      <c r="AH160" s="25">
        <f>IF(AQ160="0",BJ160,0)</f>
        <v>0</v>
      </c>
      <c r="AI160" s="11" t="s">
        <v>49</v>
      </c>
      <c r="AJ160" s="25">
        <f>IF(AN160=0,J160,0)</f>
        <v>0</v>
      </c>
      <c r="AK160" s="25">
        <f>IF(AN160=12,J160,0)</f>
        <v>0</v>
      </c>
      <c r="AL160" s="25">
        <f>IF(AN160=21,J160,0)</f>
        <v>0</v>
      </c>
      <c r="AN160" s="25">
        <v>21</v>
      </c>
      <c r="AO160" s="25">
        <f>G160*0.549013283</f>
        <v>0</v>
      </c>
      <c r="AP160" s="25">
        <f>G160*(1-0.549013283)</f>
        <v>0</v>
      </c>
      <c r="AQ160" s="27" t="s">
        <v>87</v>
      </c>
      <c r="AV160" s="25">
        <f>AW160+AX160</f>
        <v>0</v>
      </c>
      <c r="AW160" s="25">
        <f>F160*AO160</f>
        <v>0</v>
      </c>
      <c r="AX160" s="25">
        <f>F160*AP160</f>
        <v>0</v>
      </c>
      <c r="AY160" s="27" t="s">
        <v>396</v>
      </c>
      <c r="AZ160" s="27" t="s">
        <v>343</v>
      </c>
      <c r="BA160" s="11" t="s">
        <v>59</v>
      </c>
      <c r="BC160" s="25">
        <f>AW160+AX160</f>
        <v>0</v>
      </c>
      <c r="BD160" s="25">
        <f>G160/(100-BE160)*100</f>
        <v>0</v>
      </c>
      <c r="BE160" s="25">
        <v>0</v>
      </c>
      <c r="BF160" s="25">
        <f>160</f>
        <v>160</v>
      </c>
      <c r="BH160" s="25">
        <f>F160*AO160</f>
        <v>0</v>
      </c>
      <c r="BI160" s="25">
        <f>F160*AP160</f>
        <v>0</v>
      </c>
      <c r="BJ160" s="25">
        <f>F160*G160</f>
        <v>0</v>
      </c>
      <c r="BK160" s="25"/>
      <c r="BL160" s="25">
        <v>764</v>
      </c>
      <c r="BW160" s="25">
        <v>21</v>
      </c>
      <c r="BX160" s="5" t="s">
        <v>409</v>
      </c>
    </row>
    <row r="161" spans="1:76" ht="13.5" customHeight="1" x14ac:dyDescent="0.25">
      <c r="A161" s="28"/>
      <c r="B161" s="29" t="s">
        <v>60</v>
      </c>
      <c r="C161" s="77" t="s">
        <v>410</v>
      </c>
      <c r="D161" s="78"/>
      <c r="E161" s="78"/>
      <c r="F161" s="78"/>
      <c r="G161" s="78"/>
      <c r="H161" s="78"/>
      <c r="I161" s="78"/>
      <c r="J161" s="78"/>
      <c r="K161" s="79"/>
    </row>
    <row r="162" spans="1:76" x14ac:dyDescent="0.25">
      <c r="A162" s="2" t="s">
        <v>411</v>
      </c>
      <c r="B162" s="3" t="s">
        <v>412</v>
      </c>
      <c r="C162" s="69" t="s">
        <v>413</v>
      </c>
      <c r="D162" s="70"/>
      <c r="E162" s="3" t="s">
        <v>100</v>
      </c>
      <c r="F162" s="25">
        <v>1.1240000000000001</v>
      </c>
      <c r="G162" s="25">
        <v>0</v>
      </c>
      <c r="H162" s="25">
        <f>F162*AO162</f>
        <v>0</v>
      </c>
      <c r="I162" s="25">
        <f>F162*AP162</f>
        <v>0</v>
      </c>
      <c r="J162" s="25">
        <f>F162*G162</f>
        <v>0</v>
      </c>
      <c r="K162" s="26" t="s">
        <v>56</v>
      </c>
      <c r="Z162" s="25">
        <f>IF(AQ162="5",BJ162,0)</f>
        <v>0</v>
      </c>
      <c r="AB162" s="25">
        <f>IF(AQ162="1",BH162,0)</f>
        <v>0</v>
      </c>
      <c r="AC162" s="25">
        <f>IF(AQ162="1",BI162,0)</f>
        <v>0</v>
      </c>
      <c r="AD162" s="25">
        <f>IF(AQ162="7",BH162,0)</f>
        <v>0</v>
      </c>
      <c r="AE162" s="25">
        <f>IF(AQ162="7",BI162,0)</f>
        <v>0</v>
      </c>
      <c r="AF162" s="25">
        <f>IF(AQ162="2",BH162,0)</f>
        <v>0</v>
      </c>
      <c r="AG162" s="25">
        <f>IF(AQ162="2",BI162,0)</f>
        <v>0</v>
      </c>
      <c r="AH162" s="25">
        <f>IF(AQ162="0",BJ162,0)</f>
        <v>0</v>
      </c>
      <c r="AI162" s="11" t="s">
        <v>49</v>
      </c>
      <c r="AJ162" s="25">
        <f>IF(AN162=0,J162,0)</f>
        <v>0</v>
      </c>
      <c r="AK162" s="25">
        <f>IF(AN162=12,J162,0)</f>
        <v>0</v>
      </c>
      <c r="AL162" s="25">
        <f>IF(AN162=21,J162,0)</f>
        <v>0</v>
      </c>
      <c r="AN162" s="25">
        <v>21</v>
      </c>
      <c r="AO162" s="25">
        <f>G162*0</f>
        <v>0</v>
      </c>
      <c r="AP162" s="25">
        <f>G162*(1-0)</f>
        <v>0</v>
      </c>
      <c r="AQ162" s="27" t="s">
        <v>73</v>
      </c>
      <c r="AV162" s="25">
        <f>AW162+AX162</f>
        <v>0</v>
      </c>
      <c r="AW162" s="25">
        <f>F162*AO162</f>
        <v>0</v>
      </c>
      <c r="AX162" s="25">
        <f>F162*AP162</f>
        <v>0</v>
      </c>
      <c r="AY162" s="27" t="s">
        <v>396</v>
      </c>
      <c r="AZ162" s="27" t="s">
        <v>343</v>
      </c>
      <c r="BA162" s="11" t="s">
        <v>59</v>
      </c>
      <c r="BC162" s="25">
        <f>AW162+AX162</f>
        <v>0</v>
      </c>
      <c r="BD162" s="25">
        <f>G162/(100-BE162)*100</f>
        <v>0</v>
      </c>
      <c r="BE162" s="25">
        <v>0</v>
      </c>
      <c r="BF162" s="25">
        <f>162</f>
        <v>162</v>
      </c>
      <c r="BH162" s="25">
        <f>F162*AO162</f>
        <v>0</v>
      </c>
      <c r="BI162" s="25">
        <f>F162*AP162</f>
        <v>0</v>
      </c>
      <c r="BJ162" s="25">
        <f>F162*G162</f>
        <v>0</v>
      </c>
      <c r="BK162" s="25"/>
      <c r="BL162" s="25">
        <v>764</v>
      </c>
      <c r="BW162" s="25">
        <v>21</v>
      </c>
      <c r="BX162" s="5" t="s">
        <v>413</v>
      </c>
    </row>
    <row r="163" spans="1:76" x14ac:dyDescent="0.25">
      <c r="A163" s="30" t="s">
        <v>49</v>
      </c>
      <c r="B163" s="31" t="s">
        <v>414</v>
      </c>
      <c r="C163" s="71" t="s">
        <v>415</v>
      </c>
      <c r="D163" s="72"/>
      <c r="E163" s="32" t="s">
        <v>3</v>
      </c>
      <c r="F163" s="32" t="s">
        <v>3</v>
      </c>
      <c r="G163" s="32" t="s">
        <v>3</v>
      </c>
      <c r="H163" s="1">
        <f>SUM(H164:H167)</f>
        <v>0</v>
      </c>
      <c r="I163" s="1">
        <f>SUM(I164:I167)</f>
        <v>0</v>
      </c>
      <c r="J163" s="1">
        <f>SUM(J164:J167)</f>
        <v>0</v>
      </c>
      <c r="K163" s="33" t="s">
        <v>49</v>
      </c>
      <c r="AI163" s="11" t="s">
        <v>49</v>
      </c>
      <c r="AS163" s="1">
        <f>SUM(AJ164:AJ167)</f>
        <v>0</v>
      </c>
      <c r="AT163" s="1">
        <f>SUM(AK164:AK167)</f>
        <v>0</v>
      </c>
      <c r="AU163" s="1">
        <f>SUM(AL164:AL167)</f>
        <v>0</v>
      </c>
    </row>
    <row r="164" spans="1:76" x14ac:dyDescent="0.25">
      <c r="A164" s="2" t="s">
        <v>416</v>
      </c>
      <c r="B164" s="3" t="s">
        <v>417</v>
      </c>
      <c r="C164" s="69" t="s">
        <v>418</v>
      </c>
      <c r="D164" s="70"/>
      <c r="E164" s="3" t="s">
        <v>76</v>
      </c>
      <c r="F164" s="25">
        <v>99.634</v>
      </c>
      <c r="G164" s="25">
        <v>0</v>
      </c>
      <c r="H164" s="25">
        <f>F164*AO164</f>
        <v>0</v>
      </c>
      <c r="I164" s="25">
        <f>F164*AP164</f>
        <v>0</v>
      </c>
      <c r="J164" s="25">
        <f>F164*G164</f>
        <v>0</v>
      </c>
      <c r="K164" s="26" t="s">
        <v>56</v>
      </c>
      <c r="Z164" s="25">
        <f>IF(AQ164="5",BJ164,0)</f>
        <v>0</v>
      </c>
      <c r="AB164" s="25">
        <f>IF(AQ164="1",BH164,0)</f>
        <v>0</v>
      </c>
      <c r="AC164" s="25">
        <f>IF(AQ164="1",BI164,0)</f>
        <v>0</v>
      </c>
      <c r="AD164" s="25">
        <f>IF(AQ164="7",BH164,0)</f>
        <v>0</v>
      </c>
      <c r="AE164" s="25">
        <f>IF(AQ164="7",BI164,0)</f>
        <v>0</v>
      </c>
      <c r="AF164" s="25">
        <f>IF(AQ164="2",BH164,0)</f>
        <v>0</v>
      </c>
      <c r="AG164" s="25">
        <f>IF(AQ164="2",BI164,0)</f>
        <v>0</v>
      </c>
      <c r="AH164" s="25">
        <f>IF(AQ164="0",BJ164,0)</f>
        <v>0</v>
      </c>
      <c r="AI164" s="11" t="s">
        <v>49</v>
      </c>
      <c r="AJ164" s="25">
        <f>IF(AN164=0,J164,0)</f>
        <v>0</v>
      </c>
      <c r="AK164" s="25">
        <f>IF(AN164=12,J164,0)</f>
        <v>0</v>
      </c>
      <c r="AL164" s="25">
        <f>IF(AN164=21,J164,0)</f>
        <v>0</v>
      </c>
      <c r="AN164" s="25">
        <v>21</v>
      </c>
      <c r="AO164" s="25">
        <f>G164*0.543734992</f>
        <v>0</v>
      </c>
      <c r="AP164" s="25">
        <f>G164*(1-0.543734992)</f>
        <v>0</v>
      </c>
      <c r="AQ164" s="27" t="s">
        <v>87</v>
      </c>
      <c r="AV164" s="25">
        <f>AW164+AX164</f>
        <v>0</v>
      </c>
      <c r="AW164" s="25">
        <f>F164*AO164</f>
        <v>0</v>
      </c>
      <c r="AX164" s="25">
        <f>F164*AP164</f>
        <v>0</v>
      </c>
      <c r="AY164" s="27" t="s">
        <v>419</v>
      </c>
      <c r="AZ164" s="27" t="s">
        <v>343</v>
      </c>
      <c r="BA164" s="11" t="s">
        <v>59</v>
      </c>
      <c r="BC164" s="25">
        <f>AW164+AX164</f>
        <v>0</v>
      </c>
      <c r="BD164" s="25">
        <f>G164/(100-BE164)*100</f>
        <v>0</v>
      </c>
      <c r="BE164" s="25">
        <v>0</v>
      </c>
      <c r="BF164" s="25">
        <f>164</f>
        <v>164</v>
      </c>
      <c r="BH164" s="25">
        <f>F164*AO164</f>
        <v>0</v>
      </c>
      <c r="BI164" s="25">
        <f>F164*AP164</f>
        <v>0</v>
      </c>
      <c r="BJ164" s="25">
        <f>F164*G164</f>
        <v>0</v>
      </c>
      <c r="BK164" s="25"/>
      <c r="BL164" s="25">
        <v>765</v>
      </c>
      <c r="BW164" s="25">
        <v>21</v>
      </c>
      <c r="BX164" s="5" t="s">
        <v>418</v>
      </c>
    </row>
    <row r="165" spans="1:76" x14ac:dyDescent="0.25">
      <c r="A165" s="2" t="s">
        <v>420</v>
      </c>
      <c r="B165" s="3" t="s">
        <v>421</v>
      </c>
      <c r="C165" s="69" t="s">
        <v>422</v>
      </c>
      <c r="D165" s="70"/>
      <c r="E165" s="3" t="s">
        <v>76</v>
      </c>
      <c r="F165" s="25">
        <v>103.294</v>
      </c>
      <c r="G165" s="25">
        <v>0</v>
      </c>
      <c r="H165" s="25">
        <f>F165*AO165</f>
        <v>0</v>
      </c>
      <c r="I165" s="25">
        <f>F165*AP165</f>
        <v>0</v>
      </c>
      <c r="J165" s="25">
        <f>F165*G165</f>
        <v>0</v>
      </c>
      <c r="K165" s="26" t="s">
        <v>56</v>
      </c>
      <c r="Z165" s="25">
        <f>IF(AQ165="5",BJ165,0)</f>
        <v>0</v>
      </c>
      <c r="AB165" s="25">
        <f>IF(AQ165="1",BH165,0)</f>
        <v>0</v>
      </c>
      <c r="AC165" s="25">
        <f>IF(AQ165="1",BI165,0)</f>
        <v>0</v>
      </c>
      <c r="AD165" s="25">
        <f>IF(AQ165="7",BH165,0)</f>
        <v>0</v>
      </c>
      <c r="AE165" s="25">
        <f>IF(AQ165="7",BI165,0)</f>
        <v>0</v>
      </c>
      <c r="AF165" s="25">
        <f>IF(AQ165="2",BH165,0)</f>
        <v>0</v>
      </c>
      <c r="AG165" s="25">
        <f>IF(AQ165="2",BI165,0)</f>
        <v>0</v>
      </c>
      <c r="AH165" s="25">
        <f>IF(AQ165="0",BJ165,0)</f>
        <v>0</v>
      </c>
      <c r="AI165" s="11" t="s">
        <v>49</v>
      </c>
      <c r="AJ165" s="25">
        <f>IF(AN165=0,J165,0)</f>
        <v>0</v>
      </c>
      <c r="AK165" s="25">
        <f>IF(AN165=12,J165,0)</f>
        <v>0</v>
      </c>
      <c r="AL165" s="25">
        <f>IF(AN165=21,J165,0)</f>
        <v>0</v>
      </c>
      <c r="AN165" s="25">
        <v>21</v>
      </c>
      <c r="AO165" s="25">
        <f>G165*0.54351248</f>
        <v>0</v>
      </c>
      <c r="AP165" s="25">
        <f>G165*(1-0.54351248)</f>
        <v>0</v>
      </c>
      <c r="AQ165" s="27" t="s">
        <v>87</v>
      </c>
      <c r="AV165" s="25">
        <f>AW165+AX165</f>
        <v>0</v>
      </c>
      <c r="AW165" s="25">
        <f>F165*AO165</f>
        <v>0</v>
      </c>
      <c r="AX165" s="25">
        <f>F165*AP165</f>
        <v>0</v>
      </c>
      <c r="AY165" s="27" t="s">
        <v>419</v>
      </c>
      <c r="AZ165" s="27" t="s">
        <v>343</v>
      </c>
      <c r="BA165" s="11" t="s">
        <v>59</v>
      </c>
      <c r="BC165" s="25">
        <f>AW165+AX165</f>
        <v>0</v>
      </c>
      <c r="BD165" s="25">
        <f>G165/(100-BE165)*100</f>
        <v>0</v>
      </c>
      <c r="BE165" s="25">
        <v>0</v>
      </c>
      <c r="BF165" s="25">
        <f>165</f>
        <v>165</v>
      </c>
      <c r="BH165" s="25">
        <f>F165*AO165</f>
        <v>0</v>
      </c>
      <c r="BI165" s="25">
        <f>F165*AP165</f>
        <v>0</v>
      </c>
      <c r="BJ165" s="25">
        <f>F165*G165</f>
        <v>0</v>
      </c>
      <c r="BK165" s="25"/>
      <c r="BL165" s="25">
        <v>765</v>
      </c>
      <c r="BW165" s="25">
        <v>21</v>
      </c>
      <c r="BX165" s="5" t="s">
        <v>422</v>
      </c>
    </row>
    <row r="166" spans="1:76" ht="13.5" customHeight="1" x14ac:dyDescent="0.25">
      <c r="A166" s="28"/>
      <c r="B166" s="29" t="s">
        <v>60</v>
      </c>
      <c r="C166" s="77" t="s">
        <v>423</v>
      </c>
      <c r="D166" s="78"/>
      <c r="E166" s="78"/>
      <c r="F166" s="78"/>
      <c r="G166" s="78"/>
      <c r="H166" s="78"/>
      <c r="I166" s="78"/>
      <c r="J166" s="78"/>
      <c r="K166" s="79"/>
    </row>
    <row r="167" spans="1:76" x14ac:dyDescent="0.25">
      <c r="A167" s="2" t="s">
        <v>424</v>
      </c>
      <c r="B167" s="3" t="s">
        <v>425</v>
      </c>
      <c r="C167" s="69" t="s">
        <v>426</v>
      </c>
      <c r="D167" s="70"/>
      <c r="E167" s="3" t="s">
        <v>100</v>
      </c>
      <c r="F167" s="25">
        <v>4.3999999999999997E-2</v>
      </c>
      <c r="G167" s="25">
        <v>0</v>
      </c>
      <c r="H167" s="25">
        <f>F167*AO167</f>
        <v>0</v>
      </c>
      <c r="I167" s="25">
        <f>F167*AP167</f>
        <v>0</v>
      </c>
      <c r="J167" s="25">
        <f>F167*G167</f>
        <v>0</v>
      </c>
      <c r="K167" s="26" t="s">
        <v>56</v>
      </c>
      <c r="Z167" s="25">
        <f>IF(AQ167="5",BJ167,0)</f>
        <v>0</v>
      </c>
      <c r="AB167" s="25">
        <f>IF(AQ167="1",BH167,0)</f>
        <v>0</v>
      </c>
      <c r="AC167" s="25">
        <f>IF(AQ167="1",BI167,0)</f>
        <v>0</v>
      </c>
      <c r="AD167" s="25">
        <f>IF(AQ167="7",BH167,0)</f>
        <v>0</v>
      </c>
      <c r="AE167" s="25">
        <f>IF(AQ167="7",BI167,0)</f>
        <v>0</v>
      </c>
      <c r="AF167" s="25">
        <f>IF(AQ167="2",BH167,0)</f>
        <v>0</v>
      </c>
      <c r="AG167" s="25">
        <f>IF(AQ167="2",BI167,0)</f>
        <v>0</v>
      </c>
      <c r="AH167" s="25">
        <f>IF(AQ167="0",BJ167,0)</f>
        <v>0</v>
      </c>
      <c r="AI167" s="11" t="s">
        <v>49</v>
      </c>
      <c r="AJ167" s="25">
        <f>IF(AN167=0,J167,0)</f>
        <v>0</v>
      </c>
      <c r="AK167" s="25">
        <f>IF(AN167=12,J167,0)</f>
        <v>0</v>
      </c>
      <c r="AL167" s="25">
        <f>IF(AN167=21,J167,0)</f>
        <v>0</v>
      </c>
      <c r="AN167" s="25">
        <v>21</v>
      </c>
      <c r="AO167" s="25">
        <f>G167*0</f>
        <v>0</v>
      </c>
      <c r="AP167" s="25">
        <f>G167*(1-0)</f>
        <v>0</v>
      </c>
      <c r="AQ167" s="27" t="s">
        <v>73</v>
      </c>
      <c r="AV167" s="25">
        <f>AW167+AX167</f>
        <v>0</v>
      </c>
      <c r="AW167" s="25">
        <f>F167*AO167</f>
        <v>0</v>
      </c>
      <c r="AX167" s="25">
        <f>F167*AP167</f>
        <v>0</v>
      </c>
      <c r="AY167" s="27" t="s">
        <v>419</v>
      </c>
      <c r="AZ167" s="27" t="s">
        <v>343</v>
      </c>
      <c r="BA167" s="11" t="s">
        <v>59</v>
      </c>
      <c r="BC167" s="25">
        <f>AW167+AX167</f>
        <v>0</v>
      </c>
      <c r="BD167" s="25">
        <f>G167/(100-BE167)*100</f>
        <v>0</v>
      </c>
      <c r="BE167" s="25">
        <v>0</v>
      </c>
      <c r="BF167" s="25">
        <f>167</f>
        <v>167</v>
      </c>
      <c r="BH167" s="25">
        <f>F167*AO167</f>
        <v>0</v>
      </c>
      <c r="BI167" s="25">
        <f>F167*AP167</f>
        <v>0</v>
      </c>
      <c r="BJ167" s="25">
        <f>F167*G167</f>
        <v>0</v>
      </c>
      <c r="BK167" s="25"/>
      <c r="BL167" s="25">
        <v>765</v>
      </c>
      <c r="BW167" s="25">
        <v>21</v>
      </c>
      <c r="BX167" s="5" t="s">
        <v>426</v>
      </c>
    </row>
    <row r="168" spans="1:76" x14ac:dyDescent="0.25">
      <c r="A168" s="30" t="s">
        <v>49</v>
      </c>
      <c r="B168" s="31" t="s">
        <v>427</v>
      </c>
      <c r="C168" s="71" t="s">
        <v>428</v>
      </c>
      <c r="D168" s="72"/>
      <c r="E168" s="32" t="s">
        <v>3</v>
      </c>
      <c r="F168" s="32" t="s">
        <v>3</v>
      </c>
      <c r="G168" s="32" t="s">
        <v>3</v>
      </c>
      <c r="H168" s="1">
        <f>SUM(H169:H174)</f>
        <v>0</v>
      </c>
      <c r="I168" s="1">
        <f>SUM(I169:I174)</f>
        <v>0</v>
      </c>
      <c r="J168" s="1">
        <f>SUM(J169:J174)</f>
        <v>0</v>
      </c>
      <c r="K168" s="33" t="s">
        <v>49</v>
      </c>
      <c r="AI168" s="11" t="s">
        <v>49</v>
      </c>
      <c r="AS168" s="1">
        <f>SUM(AJ169:AJ174)</f>
        <v>0</v>
      </c>
      <c r="AT168" s="1">
        <f>SUM(AK169:AK174)</f>
        <v>0</v>
      </c>
      <c r="AU168" s="1">
        <f>SUM(AL169:AL174)</f>
        <v>0</v>
      </c>
    </row>
    <row r="169" spans="1:76" x14ac:dyDescent="0.25">
      <c r="A169" s="2" t="s">
        <v>429</v>
      </c>
      <c r="B169" s="3" t="s">
        <v>430</v>
      </c>
      <c r="C169" s="69" t="s">
        <v>431</v>
      </c>
      <c r="D169" s="70"/>
      <c r="E169" s="3" t="s">
        <v>128</v>
      </c>
      <c r="F169" s="25">
        <v>2</v>
      </c>
      <c r="G169" s="25">
        <v>0</v>
      </c>
      <c r="H169" s="25">
        <f>F169*AO169</f>
        <v>0</v>
      </c>
      <c r="I169" s="25">
        <f>F169*AP169</f>
        <v>0</v>
      </c>
      <c r="J169" s="25">
        <f>F169*G169</f>
        <v>0</v>
      </c>
      <c r="K169" s="26" t="s">
        <v>56</v>
      </c>
      <c r="Z169" s="25">
        <f>IF(AQ169="5",BJ169,0)</f>
        <v>0</v>
      </c>
      <c r="AB169" s="25">
        <f>IF(AQ169="1",BH169,0)</f>
        <v>0</v>
      </c>
      <c r="AC169" s="25">
        <f>IF(AQ169="1",BI169,0)</f>
        <v>0</v>
      </c>
      <c r="AD169" s="25">
        <f>IF(AQ169="7",BH169,0)</f>
        <v>0</v>
      </c>
      <c r="AE169" s="25">
        <f>IF(AQ169="7",BI169,0)</f>
        <v>0</v>
      </c>
      <c r="AF169" s="25">
        <f>IF(AQ169="2",BH169,0)</f>
        <v>0</v>
      </c>
      <c r="AG169" s="25">
        <f>IF(AQ169="2",BI169,0)</f>
        <v>0</v>
      </c>
      <c r="AH169" s="25">
        <f>IF(AQ169="0",BJ169,0)</f>
        <v>0</v>
      </c>
      <c r="AI169" s="11" t="s">
        <v>49</v>
      </c>
      <c r="AJ169" s="25">
        <f>IF(AN169=0,J169,0)</f>
        <v>0</v>
      </c>
      <c r="AK169" s="25">
        <f>IF(AN169=12,J169,0)</f>
        <v>0</v>
      </c>
      <c r="AL169" s="25">
        <f>IF(AN169=21,J169,0)</f>
        <v>0</v>
      </c>
      <c r="AN169" s="25">
        <v>21</v>
      </c>
      <c r="AO169" s="25">
        <f>G169*0.003664399</f>
        <v>0</v>
      </c>
      <c r="AP169" s="25">
        <f>G169*(1-0.003664399)</f>
        <v>0</v>
      </c>
      <c r="AQ169" s="27" t="s">
        <v>87</v>
      </c>
      <c r="AV169" s="25">
        <f>AW169+AX169</f>
        <v>0</v>
      </c>
      <c r="AW169" s="25">
        <f>F169*AO169</f>
        <v>0</v>
      </c>
      <c r="AX169" s="25">
        <f>F169*AP169</f>
        <v>0</v>
      </c>
      <c r="AY169" s="27" t="s">
        <v>432</v>
      </c>
      <c r="AZ169" s="27" t="s">
        <v>343</v>
      </c>
      <c r="BA169" s="11" t="s">
        <v>59</v>
      </c>
      <c r="BC169" s="25">
        <f>AW169+AX169</f>
        <v>0</v>
      </c>
      <c r="BD169" s="25">
        <f>G169/(100-BE169)*100</f>
        <v>0</v>
      </c>
      <c r="BE169" s="25">
        <v>0</v>
      </c>
      <c r="BF169" s="25">
        <f>169</f>
        <v>169</v>
      </c>
      <c r="BH169" s="25">
        <f>F169*AO169</f>
        <v>0</v>
      </c>
      <c r="BI169" s="25">
        <f>F169*AP169</f>
        <v>0</v>
      </c>
      <c r="BJ169" s="25">
        <f>F169*G169</f>
        <v>0</v>
      </c>
      <c r="BK169" s="25"/>
      <c r="BL169" s="25">
        <v>766</v>
      </c>
      <c r="BW169" s="25">
        <v>21</v>
      </c>
      <c r="BX169" s="5" t="s">
        <v>431</v>
      </c>
    </row>
    <row r="170" spans="1:76" ht="25.5" x14ac:dyDescent="0.25">
      <c r="A170" s="2" t="s">
        <v>433</v>
      </c>
      <c r="B170" s="3" t="s">
        <v>434</v>
      </c>
      <c r="C170" s="69" t="s">
        <v>435</v>
      </c>
      <c r="D170" s="70"/>
      <c r="E170" s="3" t="s">
        <v>128</v>
      </c>
      <c r="F170" s="25">
        <v>2</v>
      </c>
      <c r="G170" s="25">
        <v>0</v>
      </c>
      <c r="H170" s="25">
        <f>F170*AO170</f>
        <v>0</v>
      </c>
      <c r="I170" s="25">
        <f>F170*AP170</f>
        <v>0</v>
      </c>
      <c r="J170" s="25">
        <f>F170*G170</f>
        <v>0</v>
      </c>
      <c r="K170" s="26" t="s">
        <v>56</v>
      </c>
      <c r="Z170" s="25">
        <f>IF(AQ170="5",BJ170,0)</f>
        <v>0</v>
      </c>
      <c r="AB170" s="25">
        <f>IF(AQ170="1",BH170,0)</f>
        <v>0</v>
      </c>
      <c r="AC170" s="25">
        <f>IF(AQ170="1",BI170,0)</f>
        <v>0</v>
      </c>
      <c r="AD170" s="25">
        <f>IF(AQ170="7",BH170,0)</f>
        <v>0</v>
      </c>
      <c r="AE170" s="25">
        <f>IF(AQ170="7",BI170,0)</f>
        <v>0</v>
      </c>
      <c r="AF170" s="25">
        <f>IF(AQ170="2",BH170,0)</f>
        <v>0</v>
      </c>
      <c r="AG170" s="25">
        <f>IF(AQ170="2",BI170,0)</f>
        <v>0</v>
      </c>
      <c r="AH170" s="25">
        <f>IF(AQ170="0",BJ170,0)</f>
        <v>0</v>
      </c>
      <c r="AI170" s="11" t="s">
        <v>49</v>
      </c>
      <c r="AJ170" s="25">
        <f>IF(AN170=0,J170,0)</f>
        <v>0</v>
      </c>
      <c r="AK170" s="25">
        <f>IF(AN170=12,J170,0)</f>
        <v>0</v>
      </c>
      <c r="AL170" s="25">
        <f>IF(AN170=21,J170,0)</f>
        <v>0</v>
      </c>
      <c r="AN170" s="25">
        <v>21</v>
      </c>
      <c r="AO170" s="25">
        <f>G170*1</f>
        <v>0</v>
      </c>
      <c r="AP170" s="25">
        <f>G170*(1-1)</f>
        <v>0</v>
      </c>
      <c r="AQ170" s="27" t="s">
        <v>87</v>
      </c>
      <c r="AV170" s="25">
        <f>AW170+AX170</f>
        <v>0</v>
      </c>
      <c r="AW170" s="25">
        <f>F170*AO170</f>
        <v>0</v>
      </c>
      <c r="AX170" s="25">
        <f>F170*AP170</f>
        <v>0</v>
      </c>
      <c r="AY170" s="27" t="s">
        <v>432</v>
      </c>
      <c r="AZ170" s="27" t="s">
        <v>343</v>
      </c>
      <c r="BA170" s="11" t="s">
        <v>59</v>
      </c>
      <c r="BC170" s="25">
        <f>AW170+AX170</f>
        <v>0</v>
      </c>
      <c r="BD170" s="25">
        <f>G170/(100-BE170)*100</f>
        <v>0</v>
      </c>
      <c r="BE170" s="25">
        <v>0</v>
      </c>
      <c r="BF170" s="25">
        <f>170</f>
        <v>170</v>
      </c>
      <c r="BH170" s="25">
        <f>F170*AO170</f>
        <v>0</v>
      </c>
      <c r="BI170" s="25">
        <f>F170*AP170</f>
        <v>0</v>
      </c>
      <c r="BJ170" s="25">
        <f>F170*G170</f>
        <v>0</v>
      </c>
      <c r="BK170" s="25"/>
      <c r="BL170" s="25">
        <v>766</v>
      </c>
      <c r="BW170" s="25">
        <v>21</v>
      </c>
      <c r="BX170" s="5" t="s">
        <v>435</v>
      </c>
    </row>
    <row r="171" spans="1:76" x14ac:dyDescent="0.25">
      <c r="A171" s="2" t="s">
        <v>436</v>
      </c>
      <c r="B171" s="3" t="s">
        <v>437</v>
      </c>
      <c r="C171" s="69" t="s">
        <v>438</v>
      </c>
      <c r="D171" s="70"/>
      <c r="E171" s="3" t="s">
        <v>128</v>
      </c>
      <c r="F171" s="25">
        <v>2</v>
      </c>
      <c r="G171" s="25">
        <v>0</v>
      </c>
      <c r="H171" s="25">
        <f>F171*AO171</f>
        <v>0</v>
      </c>
      <c r="I171" s="25">
        <f>F171*AP171</f>
        <v>0</v>
      </c>
      <c r="J171" s="25">
        <f>F171*G171</f>
        <v>0</v>
      </c>
      <c r="K171" s="26" t="s">
        <v>56</v>
      </c>
      <c r="Z171" s="25">
        <f>IF(AQ171="5",BJ171,0)</f>
        <v>0</v>
      </c>
      <c r="AB171" s="25">
        <f>IF(AQ171="1",BH171,0)</f>
        <v>0</v>
      </c>
      <c r="AC171" s="25">
        <f>IF(AQ171="1",BI171,0)</f>
        <v>0</v>
      </c>
      <c r="AD171" s="25">
        <f>IF(AQ171="7",BH171,0)</f>
        <v>0</v>
      </c>
      <c r="AE171" s="25">
        <f>IF(AQ171="7",BI171,0)</f>
        <v>0</v>
      </c>
      <c r="AF171" s="25">
        <f>IF(AQ171="2",BH171,0)</f>
        <v>0</v>
      </c>
      <c r="AG171" s="25">
        <f>IF(AQ171="2",BI171,0)</f>
        <v>0</v>
      </c>
      <c r="AH171" s="25">
        <f>IF(AQ171="0",BJ171,0)</f>
        <v>0</v>
      </c>
      <c r="AI171" s="11" t="s">
        <v>49</v>
      </c>
      <c r="AJ171" s="25">
        <f>IF(AN171=0,J171,0)</f>
        <v>0</v>
      </c>
      <c r="AK171" s="25">
        <f>IF(AN171=12,J171,0)</f>
        <v>0</v>
      </c>
      <c r="AL171" s="25">
        <f>IF(AN171=21,J171,0)</f>
        <v>0</v>
      </c>
      <c r="AN171" s="25">
        <v>21</v>
      </c>
      <c r="AO171" s="25">
        <f>G171*1</f>
        <v>0</v>
      </c>
      <c r="AP171" s="25">
        <f>G171*(1-1)</f>
        <v>0</v>
      </c>
      <c r="AQ171" s="27" t="s">
        <v>87</v>
      </c>
      <c r="AV171" s="25">
        <f>AW171+AX171</f>
        <v>0</v>
      </c>
      <c r="AW171" s="25">
        <f>F171*AO171</f>
        <v>0</v>
      </c>
      <c r="AX171" s="25">
        <f>F171*AP171</f>
        <v>0</v>
      </c>
      <c r="AY171" s="27" t="s">
        <v>432</v>
      </c>
      <c r="AZ171" s="27" t="s">
        <v>343</v>
      </c>
      <c r="BA171" s="11" t="s">
        <v>59</v>
      </c>
      <c r="BC171" s="25">
        <f>AW171+AX171</f>
        <v>0</v>
      </c>
      <c r="BD171" s="25">
        <f>G171/(100-BE171)*100</f>
        <v>0</v>
      </c>
      <c r="BE171" s="25">
        <v>0</v>
      </c>
      <c r="BF171" s="25">
        <f>171</f>
        <v>171</v>
      </c>
      <c r="BH171" s="25">
        <f>F171*AO171</f>
        <v>0</v>
      </c>
      <c r="BI171" s="25">
        <f>F171*AP171</f>
        <v>0</v>
      </c>
      <c r="BJ171" s="25">
        <f>F171*G171</f>
        <v>0</v>
      </c>
      <c r="BK171" s="25"/>
      <c r="BL171" s="25">
        <v>766</v>
      </c>
      <c r="BW171" s="25">
        <v>21</v>
      </c>
      <c r="BX171" s="5" t="s">
        <v>438</v>
      </c>
    </row>
    <row r="172" spans="1:76" x14ac:dyDescent="0.25">
      <c r="A172" s="2" t="s">
        <v>439</v>
      </c>
      <c r="B172" s="3" t="s">
        <v>440</v>
      </c>
      <c r="C172" s="69" t="s">
        <v>441</v>
      </c>
      <c r="D172" s="70"/>
      <c r="E172" s="3" t="s">
        <v>76</v>
      </c>
      <c r="F172" s="25">
        <v>11.05</v>
      </c>
      <c r="G172" s="25">
        <v>0</v>
      </c>
      <c r="H172" s="25">
        <f>F172*AO172</f>
        <v>0</v>
      </c>
      <c r="I172" s="25">
        <f>F172*AP172</f>
        <v>0</v>
      </c>
      <c r="J172" s="25">
        <f>F172*G172</f>
        <v>0</v>
      </c>
      <c r="K172" s="26" t="s">
        <v>56</v>
      </c>
      <c r="Z172" s="25">
        <f>IF(AQ172="5",BJ172,0)</f>
        <v>0</v>
      </c>
      <c r="AB172" s="25">
        <f>IF(AQ172="1",BH172,0)</f>
        <v>0</v>
      </c>
      <c r="AC172" s="25">
        <f>IF(AQ172="1",BI172,0)</f>
        <v>0</v>
      </c>
      <c r="AD172" s="25">
        <f>IF(AQ172="7",BH172,0)</f>
        <v>0</v>
      </c>
      <c r="AE172" s="25">
        <f>IF(AQ172="7",BI172,0)</f>
        <v>0</v>
      </c>
      <c r="AF172" s="25">
        <f>IF(AQ172="2",BH172,0)</f>
        <v>0</v>
      </c>
      <c r="AG172" s="25">
        <f>IF(AQ172="2",BI172,0)</f>
        <v>0</v>
      </c>
      <c r="AH172" s="25">
        <f>IF(AQ172="0",BJ172,0)</f>
        <v>0</v>
      </c>
      <c r="AI172" s="11" t="s">
        <v>49</v>
      </c>
      <c r="AJ172" s="25">
        <f>IF(AN172=0,J172,0)</f>
        <v>0</v>
      </c>
      <c r="AK172" s="25">
        <f>IF(AN172=12,J172,0)</f>
        <v>0</v>
      </c>
      <c r="AL172" s="25">
        <f>IF(AN172=21,J172,0)</f>
        <v>0</v>
      </c>
      <c r="AN172" s="25">
        <v>21</v>
      </c>
      <c r="AO172" s="25">
        <f>G172*0.379798623</f>
        <v>0</v>
      </c>
      <c r="AP172" s="25">
        <f>G172*(1-0.379798623)</f>
        <v>0</v>
      </c>
      <c r="AQ172" s="27" t="s">
        <v>87</v>
      </c>
      <c r="AV172" s="25">
        <f>AW172+AX172</f>
        <v>0</v>
      </c>
      <c r="AW172" s="25">
        <f>F172*AO172</f>
        <v>0</v>
      </c>
      <c r="AX172" s="25">
        <f>F172*AP172</f>
        <v>0</v>
      </c>
      <c r="AY172" s="27" t="s">
        <v>432</v>
      </c>
      <c r="AZ172" s="27" t="s">
        <v>343</v>
      </c>
      <c r="BA172" s="11" t="s">
        <v>59</v>
      </c>
      <c r="BC172" s="25">
        <f>AW172+AX172</f>
        <v>0</v>
      </c>
      <c r="BD172" s="25">
        <f>G172/(100-BE172)*100</f>
        <v>0</v>
      </c>
      <c r="BE172" s="25">
        <v>0</v>
      </c>
      <c r="BF172" s="25">
        <f>172</f>
        <v>172</v>
      </c>
      <c r="BH172" s="25">
        <f>F172*AO172</f>
        <v>0</v>
      </c>
      <c r="BI172" s="25">
        <f>F172*AP172</f>
        <v>0</v>
      </c>
      <c r="BJ172" s="25">
        <f>F172*G172</f>
        <v>0</v>
      </c>
      <c r="BK172" s="25"/>
      <c r="BL172" s="25">
        <v>766</v>
      </c>
      <c r="BW172" s="25">
        <v>21</v>
      </c>
      <c r="BX172" s="5" t="s">
        <v>441</v>
      </c>
    </row>
    <row r="173" spans="1:76" ht="13.5" customHeight="1" x14ac:dyDescent="0.25">
      <c r="A173" s="28"/>
      <c r="B173" s="29" t="s">
        <v>60</v>
      </c>
      <c r="C173" s="77" t="s">
        <v>442</v>
      </c>
      <c r="D173" s="78"/>
      <c r="E173" s="78"/>
      <c r="F173" s="78"/>
      <c r="G173" s="78"/>
      <c r="H173" s="78"/>
      <c r="I173" s="78"/>
      <c r="J173" s="78"/>
      <c r="K173" s="79"/>
    </row>
    <row r="174" spans="1:76" x14ac:dyDescent="0.25">
      <c r="A174" s="2" t="s">
        <v>199</v>
      </c>
      <c r="B174" s="3" t="s">
        <v>443</v>
      </c>
      <c r="C174" s="69" t="s">
        <v>444</v>
      </c>
      <c r="D174" s="70"/>
      <c r="E174" s="3" t="s">
        <v>100</v>
      </c>
      <c r="F174" s="25">
        <v>0.20899999999999999</v>
      </c>
      <c r="G174" s="25">
        <v>0</v>
      </c>
      <c r="H174" s="25">
        <f>F174*AO174</f>
        <v>0</v>
      </c>
      <c r="I174" s="25">
        <f>F174*AP174</f>
        <v>0</v>
      </c>
      <c r="J174" s="25">
        <f>F174*G174</f>
        <v>0</v>
      </c>
      <c r="K174" s="26" t="s">
        <v>56</v>
      </c>
      <c r="Z174" s="25">
        <f>IF(AQ174="5",BJ174,0)</f>
        <v>0</v>
      </c>
      <c r="AB174" s="25">
        <f>IF(AQ174="1",BH174,0)</f>
        <v>0</v>
      </c>
      <c r="AC174" s="25">
        <f>IF(AQ174="1",BI174,0)</f>
        <v>0</v>
      </c>
      <c r="AD174" s="25">
        <f>IF(AQ174="7",BH174,0)</f>
        <v>0</v>
      </c>
      <c r="AE174" s="25">
        <f>IF(AQ174="7",BI174,0)</f>
        <v>0</v>
      </c>
      <c r="AF174" s="25">
        <f>IF(AQ174="2",BH174,0)</f>
        <v>0</v>
      </c>
      <c r="AG174" s="25">
        <f>IF(AQ174="2",BI174,0)</f>
        <v>0</v>
      </c>
      <c r="AH174" s="25">
        <f>IF(AQ174="0",BJ174,0)</f>
        <v>0</v>
      </c>
      <c r="AI174" s="11" t="s">
        <v>49</v>
      </c>
      <c r="AJ174" s="25">
        <f>IF(AN174=0,J174,0)</f>
        <v>0</v>
      </c>
      <c r="AK174" s="25">
        <f>IF(AN174=12,J174,0)</f>
        <v>0</v>
      </c>
      <c r="AL174" s="25">
        <f>IF(AN174=21,J174,0)</f>
        <v>0</v>
      </c>
      <c r="AN174" s="25">
        <v>21</v>
      </c>
      <c r="AO174" s="25">
        <f>G174*0</f>
        <v>0</v>
      </c>
      <c r="AP174" s="25">
        <f>G174*(1-0)</f>
        <v>0</v>
      </c>
      <c r="AQ174" s="27" t="s">
        <v>73</v>
      </c>
      <c r="AV174" s="25">
        <f>AW174+AX174</f>
        <v>0</v>
      </c>
      <c r="AW174" s="25">
        <f>F174*AO174</f>
        <v>0</v>
      </c>
      <c r="AX174" s="25">
        <f>F174*AP174</f>
        <v>0</v>
      </c>
      <c r="AY174" s="27" t="s">
        <v>432</v>
      </c>
      <c r="AZ174" s="27" t="s">
        <v>343</v>
      </c>
      <c r="BA174" s="11" t="s">
        <v>59</v>
      </c>
      <c r="BC174" s="25">
        <f>AW174+AX174</f>
        <v>0</v>
      </c>
      <c r="BD174" s="25">
        <f>G174/(100-BE174)*100</f>
        <v>0</v>
      </c>
      <c r="BE174" s="25">
        <v>0</v>
      </c>
      <c r="BF174" s="25">
        <f>174</f>
        <v>174</v>
      </c>
      <c r="BH174" s="25">
        <f>F174*AO174</f>
        <v>0</v>
      </c>
      <c r="BI174" s="25">
        <f>F174*AP174</f>
        <v>0</v>
      </c>
      <c r="BJ174" s="25">
        <f>F174*G174</f>
        <v>0</v>
      </c>
      <c r="BK174" s="25"/>
      <c r="BL174" s="25">
        <v>766</v>
      </c>
      <c r="BW174" s="25">
        <v>21</v>
      </c>
      <c r="BX174" s="5" t="s">
        <v>444</v>
      </c>
    </row>
    <row r="175" spans="1:76" x14ac:dyDescent="0.25">
      <c r="A175" s="30" t="s">
        <v>49</v>
      </c>
      <c r="B175" s="31" t="s">
        <v>445</v>
      </c>
      <c r="C175" s="71" t="s">
        <v>446</v>
      </c>
      <c r="D175" s="72"/>
      <c r="E175" s="32" t="s">
        <v>3</v>
      </c>
      <c r="F175" s="32" t="s">
        <v>3</v>
      </c>
      <c r="G175" s="32" t="s">
        <v>3</v>
      </c>
      <c r="H175" s="1">
        <f>SUM(H176:H184)</f>
        <v>0</v>
      </c>
      <c r="I175" s="1">
        <f>SUM(I176:I184)</f>
        <v>0</v>
      </c>
      <c r="J175" s="1">
        <f>SUM(J176:J184)</f>
        <v>0</v>
      </c>
      <c r="K175" s="33" t="s">
        <v>49</v>
      </c>
      <c r="AI175" s="11" t="s">
        <v>49</v>
      </c>
      <c r="AS175" s="1">
        <f>SUM(AJ176:AJ184)</f>
        <v>0</v>
      </c>
      <c r="AT175" s="1">
        <f>SUM(AK176:AK184)</f>
        <v>0</v>
      </c>
      <c r="AU175" s="1">
        <f>SUM(AL176:AL184)</f>
        <v>0</v>
      </c>
    </row>
    <row r="176" spans="1:76" x14ac:dyDescent="0.25">
      <c r="A176" s="2" t="s">
        <v>210</v>
      </c>
      <c r="B176" s="3" t="s">
        <v>447</v>
      </c>
      <c r="C176" s="69" t="s">
        <v>448</v>
      </c>
      <c r="D176" s="70"/>
      <c r="E176" s="3" t="s">
        <v>151</v>
      </c>
      <c r="F176" s="25">
        <v>43.4</v>
      </c>
      <c r="G176" s="25">
        <v>0</v>
      </c>
      <c r="H176" s="25">
        <f>F176*AO176</f>
        <v>0</v>
      </c>
      <c r="I176" s="25">
        <f>F176*AP176</f>
        <v>0</v>
      </c>
      <c r="J176" s="25">
        <f>F176*G176</f>
        <v>0</v>
      </c>
      <c r="K176" s="26" t="s">
        <v>56</v>
      </c>
      <c r="Z176" s="25">
        <f>IF(AQ176="5",BJ176,0)</f>
        <v>0</v>
      </c>
      <c r="AB176" s="25">
        <f>IF(AQ176="1",BH176,0)</f>
        <v>0</v>
      </c>
      <c r="AC176" s="25">
        <f>IF(AQ176="1",BI176,0)</f>
        <v>0</v>
      </c>
      <c r="AD176" s="25">
        <f>IF(AQ176="7",BH176,0)</f>
        <v>0</v>
      </c>
      <c r="AE176" s="25">
        <f>IF(AQ176="7",BI176,0)</f>
        <v>0</v>
      </c>
      <c r="AF176" s="25">
        <f>IF(AQ176="2",BH176,0)</f>
        <v>0</v>
      </c>
      <c r="AG176" s="25">
        <f>IF(AQ176="2",BI176,0)</f>
        <v>0</v>
      </c>
      <c r="AH176" s="25">
        <f>IF(AQ176="0",BJ176,0)</f>
        <v>0</v>
      </c>
      <c r="AI176" s="11" t="s">
        <v>49</v>
      </c>
      <c r="AJ176" s="25">
        <f>IF(AN176=0,J176,0)</f>
        <v>0</v>
      </c>
      <c r="AK176" s="25">
        <f>IF(AN176=12,J176,0)</f>
        <v>0</v>
      </c>
      <c r="AL176" s="25">
        <f>IF(AN176=21,J176,0)</f>
        <v>0</v>
      </c>
      <c r="AN176" s="25">
        <v>21</v>
      </c>
      <c r="AO176" s="25">
        <f>G176*0.105848845</f>
        <v>0</v>
      </c>
      <c r="AP176" s="25">
        <f>G176*(1-0.105848845)</f>
        <v>0</v>
      </c>
      <c r="AQ176" s="27" t="s">
        <v>87</v>
      </c>
      <c r="AV176" s="25">
        <f>AW176+AX176</f>
        <v>0</v>
      </c>
      <c r="AW176" s="25">
        <f>F176*AO176</f>
        <v>0</v>
      </c>
      <c r="AX176" s="25">
        <f>F176*AP176</f>
        <v>0</v>
      </c>
      <c r="AY176" s="27" t="s">
        <v>449</v>
      </c>
      <c r="AZ176" s="27" t="s">
        <v>450</v>
      </c>
      <c r="BA176" s="11" t="s">
        <v>59</v>
      </c>
      <c r="BC176" s="25">
        <f>AW176+AX176</f>
        <v>0</v>
      </c>
      <c r="BD176" s="25">
        <f>G176/(100-BE176)*100</f>
        <v>0</v>
      </c>
      <c r="BE176" s="25">
        <v>0</v>
      </c>
      <c r="BF176" s="25">
        <f>176</f>
        <v>176</v>
      </c>
      <c r="BH176" s="25">
        <f>F176*AO176</f>
        <v>0</v>
      </c>
      <c r="BI176" s="25">
        <f>F176*AP176</f>
        <v>0</v>
      </c>
      <c r="BJ176" s="25">
        <f>F176*G176</f>
        <v>0</v>
      </c>
      <c r="BK176" s="25"/>
      <c r="BL176" s="25">
        <v>771</v>
      </c>
      <c r="BW176" s="25">
        <v>21</v>
      </c>
      <c r="BX176" s="5" t="s">
        <v>448</v>
      </c>
    </row>
    <row r="177" spans="1:76" x14ac:dyDescent="0.25">
      <c r="A177" s="2" t="s">
        <v>220</v>
      </c>
      <c r="B177" s="3" t="s">
        <v>451</v>
      </c>
      <c r="C177" s="69" t="s">
        <v>452</v>
      </c>
      <c r="D177" s="70"/>
      <c r="E177" s="3" t="s">
        <v>76</v>
      </c>
      <c r="F177" s="25">
        <v>70.36</v>
      </c>
      <c r="G177" s="25">
        <v>0</v>
      </c>
      <c r="H177" s="25">
        <f>F177*AO177</f>
        <v>0</v>
      </c>
      <c r="I177" s="25">
        <f>F177*AP177</f>
        <v>0</v>
      </c>
      <c r="J177" s="25">
        <f>F177*G177</f>
        <v>0</v>
      </c>
      <c r="K177" s="26" t="s">
        <v>56</v>
      </c>
      <c r="Z177" s="25">
        <f>IF(AQ177="5",BJ177,0)</f>
        <v>0</v>
      </c>
      <c r="AB177" s="25">
        <f>IF(AQ177="1",BH177,0)</f>
        <v>0</v>
      </c>
      <c r="AC177" s="25">
        <f>IF(AQ177="1",BI177,0)</f>
        <v>0</v>
      </c>
      <c r="AD177" s="25">
        <f>IF(AQ177="7",BH177,0)</f>
        <v>0</v>
      </c>
      <c r="AE177" s="25">
        <f>IF(AQ177="7",BI177,0)</f>
        <v>0</v>
      </c>
      <c r="AF177" s="25">
        <f>IF(AQ177="2",BH177,0)</f>
        <v>0</v>
      </c>
      <c r="AG177" s="25">
        <f>IF(AQ177="2",BI177,0)</f>
        <v>0</v>
      </c>
      <c r="AH177" s="25">
        <f>IF(AQ177="0",BJ177,0)</f>
        <v>0</v>
      </c>
      <c r="AI177" s="11" t="s">
        <v>49</v>
      </c>
      <c r="AJ177" s="25">
        <f>IF(AN177=0,J177,0)</f>
        <v>0</v>
      </c>
      <c r="AK177" s="25">
        <f>IF(AN177=12,J177,0)</f>
        <v>0</v>
      </c>
      <c r="AL177" s="25">
        <f>IF(AN177=21,J177,0)</f>
        <v>0</v>
      </c>
      <c r="AN177" s="25">
        <v>21</v>
      </c>
      <c r="AO177" s="25">
        <f>G177*0.217741531</f>
        <v>0</v>
      </c>
      <c r="AP177" s="25">
        <f>G177*(1-0.217741531)</f>
        <v>0</v>
      </c>
      <c r="AQ177" s="27" t="s">
        <v>87</v>
      </c>
      <c r="AV177" s="25">
        <f>AW177+AX177</f>
        <v>0</v>
      </c>
      <c r="AW177" s="25">
        <f>F177*AO177</f>
        <v>0</v>
      </c>
      <c r="AX177" s="25">
        <f>F177*AP177</f>
        <v>0</v>
      </c>
      <c r="AY177" s="27" t="s">
        <v>449</v>
      </c>
      <c r="AZ177" s="27" t="s">
        <v>450</v>
      </c>
      <c r="BA177" s="11" t="s">
        <v>59</v>
      </c>
      <c r="BC177" s="25">
        <f>AW177+AX177</f>
        <v>0</v>
      </c>
      <c r="BD177" s="25">
        <f>G177/(100-BE177)*100</f>
        <v>0</v>
      </c>
      <c r="BE177" s="25">
        <v>0</v>
      </c>
      <c r="BF177" s="25">
        <f>177</f>
        <v>177</v>
      </c>
      <c r="BH177" s="25">
        <f>F177*AO177</f>
        <v>0</v>
      </c>
      <c r="BI177" s="25">
        <f>F177*AP177</f>
        <v>0</v>
      </c>
      <c r="BJ177" s="25">
        <f>F177*G177</f>
        <v>0</v>
      </c>
      <c r="BK177" s="25"/>
      <c r="BL177" s="25">
        <v>771</v>
      </c>
      <c r="BW177" s="25">
        <v>21</v>
      </c>
      <c r="BX177" s="5" t="s">
        <v>452</v>
      </c>
    </row>
    <row r="178" spans="1:76" ht="13.5" customHeight="1" x14ac:dyDescent="0.25">
      <c r="A178" s="28"/>
      <c r="B178" s="29" t="s">
        <v>60</v>
      </c>
      <c r="C178" s="77" t="s">
        <v>453</v>
      </c>
      <c r="D178" s="78"/>
      <c r="E178" s="78"/>
      <c r="F178" s="78"/>
      <c r="G178" s="78"/>
      <c r="H178" s="78"/>
      <c r="I178" s="78"/>
      <c r="J178" s="78"/>
      <c r="K178" s="79"/>
    </row>
    <row r="179" spans="1:76" x14ac:dyDescent="0.25">
      <c r="A179" s="2" t="s">
        <v>232</v>
      </c>
      <c r="B179" s="3" t="s">
        <v>454</v>
      </c>
      <c r="C179" s="69" t="s">
        <v>455</v>
      </c>
      <c r="D179" s="70"/>
      <c r="E179" s="3" t="s">
        <v>76</v>
      </c>
      <c r="F179" s="25">
        <v>82.459000000000003</v>
      </c>
      <c r="G179" s="25">
        <v>0</v>
      </c>
      <c r="H179" s="25">
        <f>F179*AO179</f>
        <v>0</v>
      </c>
      <c r="I179" s="25">
        <f>F179*AP179</f>
        <v>0</v>
      </c>
      <c r="J179" s="25">
        <f>F179*G179</f>
        <v>0</v>
      </c>
      <c r="K179" s="26" t="s">
        <v>56</v>
      </c>
      <c r="Z179" s="25">
        <f>IF(AQ179="5",BJ179,0)</f>
        <v>0</v>
      </c>
      <c r="AB179" s="25">
        <f>IF(AQ179="1",BH179,0)</f>
        <v>0</v>
      </c>
      <c r="AC179" s="25">
        <f>IF(AQ179="1",BI179,0)</f>
        <v>0</v>
      </c>
      <c r="AD179" s="25">
        <f>IF(AQ179="7",BH179,0)</f>
        <v>0</v>
      </c>
      <c r="AE179" s="25">
        <f>IF(AQ179="7",BI179,0)</f>
        <v>0</v>
      </c>
      <c r="AF179" s="25">
        <f>IF(AQ179="2",BH179,0)</f>
        <v>0</v>
      </c>
      <c r="AG179" s="25">
        <f>IF(AQ179="2",BI179,0)</f>
        <v>0</v>
      </c>
      <c r="AH179" s="25">
        <f>IF(AQ179="0",BJ179,0)</f>
        <v>0</v>
      </c>
      <c r="AI179" s="11" t="s">
        <v>49</v>
      </c>
      <c r="AJ179" s="25">
        <f>IF(AN179=0,J179,0)</f>
        <v>0</v>
      </c>
      <c r="AK179" s="25">
        <f>IF(AN179=12,J179,0)</f>
        <v>0</v>
      </c>
      <c r="AL179" s="25">
        <f>IF(AN179=21,J179,0)</f>
        <v>0</v>
      </c>
      <c r="AN179" s="25">
        <v>21</v>
      </c>
      <c r="AO179" s="25">
        <f>G179*1</f>
        <v>0</v>
      </c>
      <c r="AP179" s="25">
        <f>G179*(1-1)</f>
        <v>0</v>
      </c>
      <c r="AQ179" s="27" t="s">
        <v>87</v>
      </c>
      <c r="AV179" s="25">
        <f>AW179+AX179</f>
        <v>0</v>
      </c>
      <c r="AW179" s="25">
        <f>F179*AO179</f>
        <v>0</v>
      </c>
      <c r="AX179" s="25">
        <f>F179*AP179</f>
        <v>0</v>
      </c>
      <c r="AY179" s="27" t="s">
        <v>449</v>
      </c>
      <c r="AZ179" s="27" t="s">
        <v>450</v>
      </c>
      <c r="BA179" s="11" t="s">
        <v>59</v>
      </c>
      <c r="BC179" s="25">
        <f>AW179+AX179</f>
        <v>0</v>
      </c>
      <c r="BD179" s="25">
        <f>G179/(100-BE179)*100</f>
        <v>0</v>
      </c>
      <c r="BE179" s="25">
        <v>0</v>
      </c>
      <c r="BF179" s="25">
        <f>179</f>
        <v>179</v>
      </c>
      <c r="BH179" s="25">
        <f>F179*AO179</f>
        <v>0</v>
      </c>
      <c r="BI179" s="25">
        <f>F179*AP179</f>
        <v>0</v>
      </c>
      <c r="BJ179" s="25">
        <f>F179*G179</f>
        <v>0</v>
      </c>
      <c r="BK179" s="25"/>
      <c r="BL179" s="25">
        <v>771</v>
      </c>
      <c r="BW179" s="25">
        <v>21</v>
      </c>
      <c r="BX179" s="5" t="s">
        <v>455</v>
      </c>
    </row>
    <row r="180" spans="1:76" x14ac:dyDescent="0.25">
      <c r="A180" s="2" t="s">
        <v>456</v>
      </c>
      <c r="B180" s="3" t="s">
        <v>457</v>
      </c>
      <c r="C180" s="69" t="s">
        <v>458</v>
      </c>
      <c r="D180" s="70"/>
      <c r="E180" s="3" t="s">
        <v>151</v>
      </c>
      <c r="F180" s="25">
        <v>43.4</v>
      </c>
      <c r="G180" s="25">
        <v>0</v>
      </c>
      <c r="H180" s="25">
        <f>F180*AO180</f>
        <v>0</v>
      </c>
      <c r="I180" s="25">
        <f>F180*AP180</f>
        <v>0</v>
      </c>
      <c r="J180" s="25">
        <f>F180*G180</f>
        <v>0</v>
      </c>
      <c r="K180" s="26" t="s">
        <v>56</v>
      </c>
      <c r="Z180" s="25">
        <f>IF(AQ180="5",BJ180,0)</f>
        <v>0</v>
      </c>
      <c r="AB180" s="25">
        <f>IF(AQ180="1",BH180,0)</f>
        <v>0</v>
      </c>
      <c r="AC180" s="25">
        <f>IF(AQ180="1",BI180,0)</f>
        <v>0</v>
      </c>
      <c r="AD180" s="25">
        <f>IF(AQ180="7",BH180,0)</f>
        <v>0</v>
      </c>
      <c r="AE180" s="25">
        <f>IF(AQ180="7",BI180,0)</f>
        <v>0</v>
      </c>
      <c r="AF180" s="25">
        <f>IF(AQ180="2",BH180,0)</f>
        <v>0</v>
      </c>
      <c r="AG180" s="25">
        <f>IF(AQ180="2",BI180,0)</f>
        <v>0</v>
      </c>
      <c r="AH180" s="25">
        <f>IF(AQ180="0",BJ180,0)</f>
        <v>0</v>
      </c>
      <c r="AI180" s="11" t="s">
        <v>49</v>
      </c>
      <c r="AJ180" s="25">
        <f>IF(AN180=0,J180,0)</f>
        <v>0</v>
      </c>
      <c r="AK180" s="25">
        <f>IF(AN180=12,J180,0)</f>
        <v>0</v>
      </c>
      <c r="AL180" s="25">
        <f>IF(AN180=21,J180,0)</f>
        <v>0</v>
      </c>
      <c r="AN180" s="25">
        <v>21</v>
      </c>
      <c r="AO180" s="25">
        <f>G180*0.05314554</f>
        <v>0</v>
      </c>
      <c r="AP180" s="25">
        <f>G180*(1-0.05314554)</f>
        <v>0</v>
      </c>
      <c r="AQ180" s="27" t="s">
        <v>87</v>
      </c>
      <c r="AV180" s="25">
        <f>AW180+AX180</f>
        <v>0</v>
      </c>
      <c r="AW180" s="25">
        <f>F180*AO180</f>
        <v>0</v>
      </c>
      <c r="AX180" s="25">
        <f>F180*AP180</f>
        <v>0</v>
      </c>
      <c r="AY180" s="27" t="s">
        <v>449</v>
      </c>
      <c r="AZ180" s="27" t="s">
        <v>450</v>
      </c>
      <c r="BA180" s="11" t="s">
        <v>59</v>
      </c>
      <c r="BC180" s="25">
        <f>AW180+AX180</f>
        <v>0</v>
      </c>
      <c r="BD180" s="25">
        <f>G180/(100-BE180)*100</f>
        <v>0</v>
      </c>
      <c r="BE180" s="25">
        <v>0</v>
      </c>
      <c r="BF180" s="25">
        <f>180</f>
        <v>180</v>
      </c>
      <c r="BH180" s="25">
        <f>F180*AO180</f>
        <v>0</v>
      </c>
      <c r="BI180" s="25">
        <f>F180*AP180</f>
        <v>0</v>
      </c>
      <c r="BJ180" s="25">
        <f>F180*G180</f>
        <v>0</v>
      </c>
      <c r="BK180" s="25"/>
      <c r="BL180" s="25">
        <v>771</v>
      </c>
      <c r="BW180" s="25">
        <v>21</v>
      </c>
      <c r="BX180" s="5" t="s">
        <v>458</v>
      </c>
    </row>
    <row r="181" spans="1:76" x14ac:dyDescent="0.25">
      <c r="A181" s="2" t="s">
        <v>257</v>
      </c>
      <c r="B181" s="3" t="s">
        <v>459</v>
      </c>
      <c r="C181" s="69" t="s">
        <v>460</v>
      </c>
      <c r="D181" s="70"/>
      <c r="E181" s="3" t="s">
        <v>76</v>
      </c>
      <c r="F181" s="25">
        <v>75.085999999999999</v>
      </c>
      <c r="G181" s="25">
        <v>0</v>
      </c>
      <c r="H181" s="25">
        <f>F181*AO181</f>
        <v>0</v>
      </c>
      <c r="I181" s="25">
        <f>F181*AP181</f>
        <v>0</v>
      </c>
      <c r="J181" s="25">
        <f>F181*G181</f>
        <v>0</v>
      </c>
      <c r="K181" s="26" t="s">
        <v>56</v>
      </c>
      <c r="Z181" s="25">
        <f>IF(AQ181="5",BJ181,0)</f>
        <v>0</v>
      </c>
      <c r="AB181" s="25">
        <f>IF(AQ181="1",BH181,0)</f>
        <v>0</v>
      </c>
      <c r="AC181" s="25">
        <f>IF(AQ181="1",BI181,0)</f>
        <v>0</v>
      </c>
      <c r="AD181" s="25">
        <f>IF(AQ181="7",BH181,0)</f>
        <v>0</v>
      </c>
      <c r="AE181" s="25">
        <f>IF(AQ181="7",BI181,0)</f>
        <v>0</v>
      </c>
      <c r="AF181" s="25">
        <f>IF(AQ181="2",BH181,0)</f>
        <v>0</v>
      </c>
      <c r="AG181" s="25">
        <f>IF(AQ181="2",BI181,0)</f>
        <v>0</v>
      </c>
      <c r="AH181" s="25">
        <f>IF(AQ181="0",BJ181,0)</f>
        <v>0</v>
      </c>
      <c r="AI181" s="11" t="s">
        <v>49</v>
      </c>
      <c r="AJ181" s="25">
        <f>IF(AN181=0,J181,0)</f>
        <v>0</v>
      </c>
      <c r="AK181" s="25">
        <f>IF(AN181=12,J181,0)</f>
        <v>0</v>
      </c>
      <c r="AL181" s="25">
        <f>IF(AN181=21,J181,0)</f>
        <v>0</v>
      </c>
      <c r="AN181" s="25">
        <v>21</v>
      </c>
      <c r="AO181" s="25">
        <f>G181*0.99999441</f>
        <v>0</v>
      </c>
      <c r="AP181" s="25">
        <f>G181*(1-0.99999441)</f>
        <v>0</v>
      </c>
      <c r="AQ181" s="27" t="s">
        <v>87</v>
      </c>
      <c r="AV181" s="25">
        <f>AW181+AX181</f>
        <v>0</v>
      </c>
      <c r="AW181" s="25">
        <f>F181*AO181</f>
        <v>0</v>
      </c>
      <c r="AX181" s="25">
        <f>F181*AP181</f>
        <v>0</v>
      </c>
      <c r="AY181" s="27" t="s">
        <v>449</v>
      </c>
      <c r="AZ181" s="27" t="s">
        <v>450</v>
      </c>
      <c r="BA181" s="11" t="s">
        <v>59</v>
      </c>
      <c r="BC181" s="25">
        <f>AW181+AX181</f>
        <v>0</v>
      </c>
      <c r="BD181" s="25">
        <f>G181/(100-BE181)*100</f>
        <v>0</v>
      </c>
      <c r="BE181" s="25">
        <v>0</v>
      </c>
      <c r="BF181" s="25">
        <f>181</f>
        <v>181</v>
      </c>
      <c r="BH181" s="25">
        <f>F181*AO181</f>
        <v>0</v>
      </c>
      <c r="BI181" s="25">
        <f>F181*AP181</f>
        <v>0</v>
      </c>
      <c r="BJ181" s="25">
        <f>F181*G181</f>
        <v>0</v>
      </c>
      <c r="BK181" s="25"/>
      <c r="BL181" s="25">
        <v>771</v>
      </c>
      <c r="BW181" s="25">
        <v>21</v>
      </c>
      <c r="BX181" s="5" t="s">
        <v>460</v>
      </c>
    </row>
    <row r="182" spans="1:76" x14ac:dyDescent="0.25">
      <c r="A182" s="2" t="s">
        <v>461</v>
      </c>
      <c r="B182" s="3" t="s">
        <v>462</v>
      </c>
      <c r="C182" s="69" t="s">
        <v>463</v>
      </c>
      <c r="D182" s="70"/>
      <c r="E182" s="3" t="s">
        <v>76</v>
      </c>
      <c r="F182" s="25">
        <v>70.475999999999999</v>
      </c>
      <c r="G182" s="25">
        <v>0</v>
      </c>
      <c r="H182" s="25">
        <f>F182*AO182</f>
        <v>0</v>
      </c>
      <c r="I182" s="25">
        <f>F182*AP182</f>
        <v>0</v>
      </c>
      <c r="J182" s="25">
        <f>F182*G182</f>
        <v>0</v>
      </c>
      <c r="K182" s="26" t="s">
        <v>56</v>
      </c>
      <c r="Z182" s="25">
        <f>IF(AQ182="5",BJ182,0)</f>
        <v>0</v>
      </c>
      <c r="AB182" s="25">
        <f>IF(AQ182="1",BH182,0)</f>
        <v>0</v>
      </c>
      <c r="AC182" s="25">
        <f>IF(AQ182="1",BI182,0)</f>
        <v>0</v>
      </c>
      <c r="AD182" s="25">
        <f>IF(AQ182="7",BH182,0)</f>
        <v>0</v>
      </c>
      <c r="AE182" s="25">
        <f>IF(AQ182="7",BI182,0)</f>
        <v>0</v>
      </c>
      <c r="AF182" s="25">
        <f>IF(AQ182="2",BH182,0)</f>
        <v>0</v>
      </c>
      <c r="AG182" s="25">
        <f>IF(AQ182="2",BI182,0)</f>
        <v>0</v>
      </c>
      <c r="AH182" s="25">
        <f>IF(AQ182="0",BJ182,0)</f>
        <v>0</v>
      </c>
      <c r="AI182" s="11" t="s">
        <v>49</v>
      </c>
      <c r="AJ182" s="25">
        <f>IF(AN182=0,J182,0)</f>
        <v>0</v>
      </c>
      <c r="AK182" s="25">
        <f>IF(AN182=12,J182,0)</f>
        <v>0</v>
      </c>
      <c r="AL182" s="25">
        <f>IF(AN182=21,J182,0)</f>
        <v>0</v>
      </c>
      <c r="AN182" s="25">
        <v>21</v>
      </c>
      <c r="AO182" s="25">
        <f>G182*0.472425781</f>
        <v>0</v>
      </c>
      <c r="AP182" s="25">
        <f>G182*(1-0.472425781)</f>
        <v>0</v>
      </c>
      <c r="AQ182" s="27" t="s">
        <v>87</v>
      </c>
      <c r="AV182" s="25">
        <f>AW182+AX182</f>
        <v>0</v>
      </c>
      <c r="AW182" s="25">
        <f>F182*AO182</f>
        <v>0</v>
      </c>
      <c r="AX182" s="25">
        <f>F182*AP182</f>
        <v>0</v>
      </c>
      <c r="AY182" s="27" t="s">
        <v>449</v>
      </c>
      <c r="AZ182" s="27" t="s">
        <v>450</v>
      </c>
      <c r="BA182" s="11" t="s">
        <v>59</v>
      </c>
      <c r="BC182" s="25">
        <f>AW182+AX182</f>
        <v>0</v>
      </c>
      <c r="BD182" s="25">
        <f>G182/(100-BE182)*100</f>
        <v>0</v>
      </c>
      <c r="BE182" s="25">
        <v>0</v>
      </c>
      <c r="BF182" s="25">
        <f>182</f>
        <v>182</v>
      </c>
      <c r="BH182" s="25">
        <f>F182*AO182</f>
        <v>0</v>
      </c>
      <c r="BI182" s="25">
        <f>F182*AP182</f>
        <v>0</v>
      </c>
      <c r="BJ182" s="25">
        <f>F182*G182</f>
        <v>0</v>
      </c>
      <c r="BK182" s="25"/>
      <c r="BL182" s="25">
        <v>771</v>
      </c>
      <c r="BW182" s="25">
        <v>21</v>
      </c>
      <c r="BX182" s="5" t="s">
        <v>463</v>
      </c>
    </row>
    <row r="183" spans="1:76" ht="13.5" customHeight="1" x14ac:dyDescent="0.25">
      <c r="A183" s="28"/>
      <c r="B183" s="29" t="s">
        <v>60</v>
      </c>
      <c r="C183" s="77" t="s">
        <v>464</v>
      </c>
      <c r="D183" s="78"/>
      <c r="E183" s="78"/>
      <c r="F183" s="78"/>
      <c r="G183" s="78"/>
      <c r="H183" s="78"/>
      <c r="I183" s="78"/>
      <c r="J183" s="78"/>
      <c r="K183" s="79"/>
    </row>
    <row r="184" spans="1:76" x14ac:dyDescent="0.25">
      <c r="A184" s="2" t="s">
        <v>465</v>
      </c>
      <c r="B184" s="3" t="s">
        <v>466</v>
      </c>
      <c r="C184" s="69" t="s">
        <v>467</v>
      </c>
      <c r="D184" s="70"/>
      <c r="E184" s="3" t="s">
        <v>100</v>
      </c>
      <c r="F184" s="25">
        <v>1.9350000000000001</v>
      </c>
      <c r="G184" s="25">
        <v>0</v>
      </c>
      <c r="H184" s="25">
        <f>F184*AO184</f>
        <v>0</v>
      </c>
      <c r="I184" s="25">
        <f>F184*AP184</f>
        <v>0</v>
      </c>
      <c r="J184" s="25">
        <f>F184*G184</f>
        <v>0</v>
      </c>
      <c r="K184" s="26" t="s">
        <v>56</v>
      </c>
      <c r="Z184" s="25">
        <f>IF(AQ184="5",BJ184,0)</f>
        <v>0</v>
      </c>
      <c r="AB184" s="25">
        <f>IF(AQ184="1",BH184,0)</f>
        <v>0</v>
      </c>
      <c r="AC184" s="25">
        <f>IF(AQ184="1",BI184,0)</f>
        <v>0</v>
      </c>
      <c r="AD184" s="25">
        <f>IF(AQ184="7",BH184,0)</f>
        <v>0</v>
      </c>
      <c r="AE184" s="25">
        <f>IF(AQ184="7",BI184,0)</f>
        <v>0</v>
      </c>
      <c r="AF184" s="25">
        <f>IF(AQ184="2",BH184,0)</f>
        <v>0</v>
      </c>
      <c r="AG184" s="25">
        <f>IF(AQ184="2",BI184,0)</f>
        <v>0</v>
      </c>
      <c r="AH184" s="25">
        <f>IF(AQ184="0",BJ184,0)</f>
        <v>0</v>
      </c>
      <c r="AI184" s="11" t="s">
        <v>49</v>
      </c>
      <c r="AJ184" s="25">
        <f>IF(AN184=0,J184,0)</f>
        <v>0</v>
      </c>
      <c r="AK184" s="25">
        <f>IF(AN184=12,J184,0)</f>
        <v>0</v>
      </c>
      <c r="AL184" s="25">
        <f>IF(AN184=21,J184,0)</f>
        <v>0</v>
      </c>
      <c r="AN184" s="25">
        <v>21</v>
      </c>
      <c r="AO184" s="25">
        <f>G184*0</f>
        <v>0</v>
      </c>
      <c r="AP184" s="25">
        <f>G184*(1-0)</f>
        <v>0</v>
      </c>
      <c r="AQ184" s="27" t="s">
        <v>73</v>
      </c>
      <c r="AV184" s="25">
        <f>AW184+AX184</f>
        <v>0</v>
      </c>
      <c r="AW184" s="25">
        <f>F184*AO184</f>
        <v>0</v>
      </c>
      <c r="AX184" s="25">
        <f>F184*AP184</f>
        <v>0</v>
      </c>
      <c r="AY184" s="27" t="s">
        <v>449</v>
      </c>
      <c r="AZ184" s="27" t="s">
        <v>450</v>
      </c>
      <c r="BA184" s="11" t="s">
        <v>59</v>
      </c>
      <c r="BC184" s="25">
        <f>AW184+AX184</f>
        <v>0</v>
      </c>
      <c r="BD184" s="25">
        <f>G184/(100-BE184)*100</f>
        <v>0</v>
      </c>
      <c r="BE184" s="25">
        <v>0</v>
      </c>
      <c r="BF184" s="25">
        <f>184</f>
        <v>184</v>
      </c>
      <c r="BH184" s="25">
        <f>F184*AO184</f>
        <v>0</v>
      </c>
      <c r="BI184" s="25">
        <f>F184*AP184</f>
        <v>0</v>
      </c>
      <c r="BJ184" s="25">
        <f>F184*G184</f>
        <v>0</v>
      </c>
      <c r="BK184" s="25"/>
      <c r="BL184" s="25">
        <v>771</v>
      </c>
      <c r="BW184" s="25">
        <v>21</v>
      </c>
      <c r="BX184" s="5" t="s">
        <v>467</v>
      </c>
    </row>
    <row r="185" spans="1:76" x14ac:dyDescent="0.25">
      <c r="A185" s="30" t="s">
        <v>49</v>
      </c>
      <c r="B185" s="31" t="s">
        <v>468</v>
      </c>
      <c r="C185" s="71" t="s">
        <v>469</v>
      </c>
      <c r="D185" s="72"/>
      <c r="E185" s="32" t="s">
        <v>3</v>
      </c>
      <c r="F185" s="32" t="s">
        <v>3</v>
      </c>
      <c r="G185" s="32" t="s">
        <v>3</v>
      </c>
      <c r="H185" s="1">
        <f>SUM(H186:H188)</f>
        <v>0</v>
      </c>
      <c r="I185" s="1">
        <f>SUM(I186:I188)</f>
        <v>0</v>
      </c>
      <c r="J185" s="1">
        <f>SUM(J186:J188)</f>
        <v>0</v>
      </c>
      <c r="K185" s="33" t="s">
        <v>49</v>
      </c>
      <c r="AI185" s="11" t="s">
        <v>49</v>
      </c>
      <c r="AS185" s="1">
        <f>SUM(AJ186:AJ188)</f>
        <v>0</v>
      </c>
      <c r="AT185" s="1">
        <f>SUM(AK186:AK188)</f>
        <v>0</v>
      </c>
      <c r="AU185" s="1">
        <f>SUM(AL186:AL188)</f>
        <v>0</v>
      </c>
    </row>
    <row r="186" spans="1:76" x14ac:dyDescent="0.25">
      <c r="A186" s="2" t="s">
        <v>470</v>
      </c>
      <c r="B186" s="3" t="s">
        <v>471</v>
      </c>
      <c r="C186" s="69" t="s">
        <v>472</v>
      </c>
      <c r="D186" s="70"/>
      <c r="E186" s="3" t="s">
        <v>76</v>
      </c>
      <c r="F186" s="25">
        <v>248.864</v>
      </c>
      <c r="G186" s="25">
        <v>0</v>
      </c>
      <c r="H186" s="25">
        <f>F186*AO186</f>
        <v>0</v>
      </c>
      <c r="I186" s="25">
        <f>F186*AP186</f>
        <v>0</v>
      </c>
      <c r="J186" s="25">
        <f>F186*G186</f>
        <v>0</v>
      </c>
      <c r="K186" s="26" t="s">
        <v>56</v>
      </c>
      <c r="Z186" s="25">
        <f>IF(AQ186="5",BJ186,0)</f>
        <v>0</v>
      </c>
      <c r="AB186" s="25">
        <f>IF(AQ186="1",BH186,0)</f>
        <v>0</v>
      </c>
      <c r="AC186" s="25">
        <f>IF(AQ186="1",BI186,0)</f>
        <v>0</v>
      </c>
      <c r="AD186" s="25">
        <f>IF(AQ186="7",BH186,0)</f>
        <v>0</v>
      </c>
      <c r="AE186" s="25">
        <f>IF(AQ186="7",BI186,0)</f>
        <v>0</v>
      </c>
      <c r="AF186" s="25">
        <f>IF(AQ186="2",BH186,0)</f>
        <v>0</v>
      </c>
      <c r="AG186" s="25">
        <f>IF(AQ186="2",BI186,0)</f>
        <v>0</v>
      </c>
      <c r="AH186" s="25">
        <f>IF(AQ186="0",BJ186,0)</f>
        <v>0</v>
      </c>
      <c r="AI186" s="11" t="s">
        <v>49</v>
      </c>
      <c r="AJ186" s="25">
        <f>IF(AN186=0,J186,0)</f>
        <v>0</v>
      </c>
      <c r="AK186" s="25">
        <f>IF(AN186=12,J186,0)</f>
        <v>0</v>
      </c>
      <c r="AL186" s="25">
        <f>IF(AN186=21,J186,0)</f>
        <v>0</v>
      </c>
      <c r="AN186" s="25">
        <v>21</v>
      </c>
      <c r="AO186" s="25">
        <f>G186*0.230136108</f>
        <v>0</v>
      </c>
      <c r="AP186" s="25">
        <f>G186*(1-0.230136108)</f>
        <v>0</v>
      </c>
      <c r="AQ186" s="27" t="s">
        <v>87</v>
      </c>
      <c r="AV186" s="25">
        <f>AW186+AX186</f>
        <v>0</v>
      </c>
      <c r="AW186" s="25">
        <f>F186*AO186</f>
        <v>0</v>
      </c>
      <c r="AX186" s="25">
        <f>F186*AP186</f>
        <v>0</v>
      </c>
      <c r="AY186" s="27" t="s">
        <v>473</v>
      </c>
      <c r="AZ186" s="27" t="s">
        <v>474</v>
      </c>
      <c r="BA186" s="11" t="s">
        <v>59</v>
      </c>
      <c r="BC186" s="25">
        <f>AW186+AX186</f>
        <v>0</v>
      </c>
      <c r="BD186" s="25">
        <f>G186/(100-BE186)*100</f>
        <v>0</v>
      </c>
      <c r="BE186" s="25">
        <v>0</v>
      </c>
      <c r="BF186" s="25">
        <f>186</f>
        <v>186</v>
      </c>
      <c r="BH186" s="25">
        <f>F186*AO186</f>
        <v>0</v>
      </c>
      <c r="BI186" s="25">
        <f>F186*AP186</f>
        <v>0</v>
      </c>
      <c r="BJ186" s="25">
        <f>F186*G186</f>
        <v>0</v>
      </c>
      <c r="BK186" s="25"/>
      <c r="BL186" s="25">
        <v>784</v>
      </c>
      <c r="BW186" s="25">
        <v>21</v>
      </c>
      <c r="BX186" s="5" t="s">
        <v>472</v>
      </c>
    </row>
    <row r="187" spans="1:76" x14ac:dyDescent="0.25">
      <c r="A187" s="2" t="s">
        <v>475</v>
      </c>
      <c r="B187" s="3" t="s">
        <v>476</v>
      </c>
      <c r="C187" s="69" t="s">
        <v>477</v>
      </c>
      <c r="D187" s="70"/>
      <c r="E187" s="3" t="s">
        <v>76</v>
      </c>
      <c r="F187" s="25">
        <v>99.203999999999994</v>
      </c>
      <c r="G187" s="25">
        <v>0</v>
      </c>
      <c r="H187" s="25">
        <f>F187*AO187</f>
        <v>0</v>
      </c>
      <c r="I187" s="25">
        <f>F187*AP187</f>
        <v>0</v>
      </c>
      <c r="J187" s="25">
        <f>F187*G187</f>
        <v>0</v>
      </c>
      <c r="K187" s="26" t="s">
        <v>56</v>
      </c>
      <c r="Z187" s="25">
        <f>IF(AQ187="5",BJ187,0)</f>
        <v>0</v>
      </c>
      <c r="AB187" s="25">
        <f>IF(AQ187="1",BH187,0)</f>
        <v>0</v>
      </c>
      <c r="AC187" s="25">
        <f>IF(AQ187="1",BI187,0)</f>
        <v>0</v>
      </c>
      <c r="AD187" s="25">
        <f>IF(AQ187="7",BH187,0)</f>
        <v>0</v>
      </c>
      <c r="AE187" s="25">
        <f>IF(AQ187="7",BI187,0)</f>
        <v>0</v>
      </c>
      <c r="AF187" s="25">
        <f>IF(AQ187="2",BH187,0)</f>
        <v>0</v>
      </c>
      <c r="AG187" s="25">
        <f>IF(AQ187="2",BI187,0)</f>
        <v>0</v>
      </c>
      <c r="AH187" s="25">
        <f>IF(AQ187="0",BJ187,0)</f>
        <v>0</v>
      </c>
      <c r="AI187" s="11" t="s">
        <v>49</v>
      </c>
      <c r="AJ187" s="25">
        <f>IF(AN187=0,J187,0)</f>
        <v>0</v>
      </c>
      <c r="AK187" s="25">
        <f>IF(AN187=12,J187,0)</f>
        <v>0</v>
      </c>
      <c r="AL187" s="25">
        <f>IF(AN187=21,J187,0)</f>
        <v>0</v>
      </c>
      <c r="AN187" s="25">
        <v>21</v>
      </c>
      <c r="AO187" s="25">
        <f>G187*0.102591514</f>
        <v>0</v>
      </c>
      <c r="AP187" s="25">
        <f>G187*(1-0.102591514)</f>
        <v>0</v>
      </c>
      <c r="AQ187" s="27" t="s">
        <v>87</v>
      </c>
      <c r="AV187" s="25">
        <f>AW187+AX187</f>
        <v>0</v>
      </c>
      <c r="AW187" s="25">
        <f>F187*AO187</f>
        <v>0</v>
      </c>
      <c r="AX187" s="25">
        <f>F187*AP187</f>
        <v>0</v>
      </c>
      <c r="AY187" s="27" t="s">
        <v>473</v>
      </c>
      <c r="AZ187" s="27" t="s">
        <v>474</v>
      </c>
      <c r="BA187" s="11" t="s">
        <v>59</v>
      </c>
      <c r="BC187" s="25">
        <f>AW187+AX187</f>
        <v>0</v>
      </c>
      <c r="BD187" s="25">
        <f>G187/(100-BE187)*100</f>
        <v>0</v>
      </c>
      <c r="BE187" s="25">
        <v>0</v>
      </c>
      <c r="BF187" s="25">
        <f>187</f>
        <v>187</v>
      </c>
      <c r="BH187" s="25">
        <f>F187*AO187</f>
        <v>0</v>
      </c>
      <c r="BI187" s="25">
        <f>F187*AP187</f>
        <v>0</v>
      </c>
      <c r="BJ187" s="25">
        <f>F187*G187</f>
        <v>0</v>
      </c>
      <c r="BK187" s="25"/>
      <c r="BL187" s="25">
        <v>784</v>
      </c>
      <c r="BW187" s="25">
        <v>21</v>
      </c>
      <c r="BX187" s="5" t="s">
        <v>477</v>
      </c>
    </row>
    <row r="188" spans="1:76" x14ac:dyDescent="0.25">
      <c r="A188" s="2" t="s">
        <v>478</v>
      </c>
      <c r="B188" s="3" t="s">
        <v>479</v>
      </c>
      <c r="C188" s="69" t="s">
        <v>480</v>
      </c>
      <c r="D188" s="70"/>
      <c r="E188" s="3" t="s">
        <v>76</v>
      </c>
      <c r="F188" s="25">
        <v>149.66</v>
      </c>
      <c r="G188" s="25">
        <v>0</v>
      </c>
      <c r="H188" s="25">
        <f>F188*AO188</f>
        <v>0</v>
      </c>
      <c r="I188" s="25">
        <f>F188*AP188</f>
        <v>0</v>
      </c>
      <c r="J188" s="25">
        <f>F188*G188</f>
        <v>0</v>
      </c>
      <c r="K188" s="26" t="s">
        <v>56</v>
      </c>
      <c r="Z188" s="25">
        <f>IF(AQ188="5",BJ188,0)</f>
        <v>0</v>
      </c>
      <c r="AB188" s="25">
        <f>IF(AQ188="1",BH188,0)</f>
        <v>0</v>
      </c>
      <c r="AC188" s="25">
        <f>IF(AQ188="1",BI188,0)</f>
        <v>0</v>
      </c>
      <c r="AD188" s="25">
        <f>IF(AQ188="7",BH188,0)</f>
        <v>0</v>
      </c>
      <c r="AE188" s="25">
        <f>IF(AQ188="7",BI188,0)</f>
        <v>0</v>
      </c>
      <c r="AF188" s="25">
        <f>IF(AQ188="2",BH188,0)</f>
        <v>0</v>
      </c>
      <c r="AG188" s="25">
        <f>IF(AQ188="2",BI188,0)</f>
        <v>0</v>
      </c>
      <c r="AH188" s="25">
        <f>IF(AQ188="0",BJ188,0)</f>
        <v>0</v>
      </c>
      <c r="AI188" s="11" t="s">
        <v>49</v>
      </c>
      <c r="AJ188" s="25">
        <f>IF(AN188=0,J188,0)</f>
        <v>0</v>
      </c>
      <c r="AK188" s="25">
        <f>IF(AN188=12,J188,0)</f>
        <v>0</v>
      </c>
      <c r="AL188" s="25">
        <f>IF(AN188=21,J188,0)</f>
        <v>0</v>
      </c>
      <c r="AN188" s="25">
        <v>21</v>
      </c>
      <c r="AO188" s="25">
        <f>G188*0.07778308</f>
        <v>0</v>
      </c>
      <c r="AP188" s="25">
        <f>G188*(1-0.07778308)</f>
        <v>0</v>
      </c>
      <c r="AQ188" s="27" t="s">
        <v>87</v>
      </c>
      <c r="AV188" s="25">
        <f>AW188+AX188</f>
        <v>0</v>
      </c>
      <c r="AW188" s="25">
        <f>F188*AO188</f>
        <v>0</v>
      </c>
      <c r="AX188" s="25">
        <f>F188*AP188</f>
        <v>0</v>
      </c>
      <c r="AY188" s="27" t="s">
        <v>473</v>
      </c>
      <c r="AZ188" s="27" t="s">
        <v>474</v>
      </c>
      <c r="BA188" s="11" t="s">
        <v>59</v>
      </c>
      <c r="BC188" s="25">
        <f>AW188+AX188</f>
        <v>0</v>
      </c>
      <c r="BD188" s="25">
        <f>G188/(100-BE188)*100</f>
        <v>0</v>
      </c>
      <c r="BE188" s="25">
        <v>0</v>
      </c>
      <c r="BF188" s="25">
        <f>188</f>
        <v>188</v>
      </c>
      <c r="BH188" s="25">
        <f>F188*AO188</f>
        <v>0</v>
      </c>
      <c r="BI188" s="25">
        <f>F188*AP188</f>
        <v>0</v>
      </c>
      <c r="BJ188" s="25">
        <f>F188*G188</f>
        <v>0</v>
      </c>
      <c r="BK188" s="25"/>
      <c r="BL188" s="25">
        <v>784</v>
      </c>
      <c r="BW188" s="25">
        <v>21</v>
      </c>
      <c r="BX188" s="5" t="s">
        <v>480</v>
      </c>
    </row>
    <row r="189" spans="1:76" x14ac:dyDescent="0.25">
      <c r="A189" s="30" t="s">
        <v>49</v>
      </c>
      <c r="B189" s="31" t="s">
        <v>433</v>
      </c>
      <c r="C189" s="71" t="s">
        <v>481</v>
      </c>
      <c r="D189" s="72"/>
      <c r="E189" s="32" t="s">
        <v>3</v>
      </c>
      <c r="F189" s="32" t="s">
        <v>3</v>
      </c>
      <c r="G189" s="32" t="s">
        <v>3</v>
      </c>
      <c r="H189" s="1">
        <f>SUM(H190:H190)</f>
        <v>0</v>
      </c>
      <c r="I189" s="1">
        <f>SUM(I190:I190)</f>
        <v>0</v>
      </c>
      <c r="J189" s="1">
        <f>SUM(J190:J190)</f>
        <v>0</v>
      </c>
      <c r="K189" s="33" t="s">
        <v>49</v>
      </c>
      <c r="AI189" s="11" t="s">
        <v>49</v>
      </c>
      <c r="AS189" s="1">
        <f>SUM(AJ190:AJ190)</f>
        <v>0</v>
      </c>
      <c r="AT189" s="1">
        <f>SUM(AK190:AK190)</f>
        <v>0</v>
      </c>
      <c r="AU189" s="1">
        <f>SUM(AL190:AL190)</f>
        <v>0</v>
      </c>
    </row>
    <row r="190" spans="1:76" x14ac:dyDescent="0.25">
      <c r="A190" s="2" t="s">
        <v>482</v>
      </c>
      <c r="B190" s="3" t="s">
        <v>483</v>
      </c>
      <c r="C190" s="69" t="s">
        <v>484</v>
      </c>
      <c r="D190" s="70"/>
      <c r="E190" s="3" t="s">
        <v>485</v>
      </c>
      <c r="F190" s="25">
        <v>30</v>
      </c>
      <c r="G190" s="25">
        <v>0</v>
      </c>
      <c r="H190" s="25">
        <f>F190*AO190</f>
        <v>0</v>
      </c>
      <c r="I190" s="25">
        <f>F190*AP190</f>
        <v>0</v>
      </c>
      <c r="J190" s="25">
        <f>F190*G190</f>
        <v>0</v>
      </c>
      <c r="K190" s="26" t="s">
        <v>56</v>
      </c>
      <c r="Z190" s="25">
        <f>IF(AQ190="5",BJ190,0)</f>
        <v>0</v>
      </c>
      <c r="AB190" s="25">
        <f>IF(AQ190="1",BH190,0)</f>
        <v>0</v>
      </c>
      <c r="AC190" s="25">
        <f>IF(AQ190="1",BI190,0)</f>
        <v>0</v>
      </c>
      <c r="AD190" s="25">
        <f>IF(AQ190="7",BH190,0)</f>
        <v>0</v>
      </c>
      <c r="AE190" s="25">
        <f>IF(AQ190="7",BI190,0)</f>
        <v>0</v>
      </c>
      <c r="AF190" s="25">
        <f>IF(AQ190="2",BH190,0)</f>
        <v>0</v>
      </c>
      <c r="AG190" s="25">
        <f>IF(AQ190="2",BI190,0)</f>
        <v>0</v>
      </c>
      <c r="AH190" s="25">
        <f>IF(AQ190="0",BJ190,0)</f>
        <v>0</v>
      </c>
      <c r="AI190" s="11" t="s">
        <v>49</v>
      </c>
      <c r="AJ190" s="25">
        <f>IF(AN190=0,J190,0)</f>
        <v>0</v>
      </c>
      <c r="AK190" s="25">
        <f>IF(AN190=12,J190,0)</f>
        <v>0</v>
      </c>
      <c r="AL190" s="25">
        <f>IF(AN190=21,J190,0)</f>
        <v>0</v>
      </c>
      <c r="AN190" s="25">
        <v>21</v>
      </c>
      <c r="AO190" s="25">
        <f>G190*0</f>
        <v>0</v>
      </c>
      <c r="AP190" s="25">
        <f>G190*(1-0)</f>
        <v>0</v>
      </c>
      <c r="AQ190" s="27" t="s">
        <v>52</v>
      </c>
      <c r="AV190" s="25">
        <f>AW190+AX190</f>
        <v>0</v>
      </c>
      <c r="AW190" s="25">
        <f>F190*AO190</f>
        <v>0</v>
      </c>
      <c r="AX190" s="25">
        <f>F190*AP190</f>
        <v>0</v>
      </c>
      <c r="AY190" s="27" t="s">
        <v>486</v>
      </c>
      <c r="AZ190" s="27" t="s">
        <v>205</v>
      </c>
      <c r="BA190" s="11" t="s">
        <v>59</v>
      </c>
      <c r="BC190" s="25">
        <f>AW190+AX190</f>
        <v>0</v>
      </c>
      <c r="BD190" s="25">
        <f>G190/(100-BE190)*100</f>
        <v>0</v>
      </c>
      <c r="BE190" s="25">
        <v>0</v>
      </c>
      <c r="BF190" s="25">
        <f>190</f>
        <v>190</v>
      </c>
      <c r="BH190" s="25">
        <f>F190*AO190</f>
        <v>0</v>
      </c>
      <c r="BI190" s="25">
        <f>F190*AP190</f>
        <v>0</v>
      </c>
      <c r="BJ190" s="25">
        <f>F190*G190</f>
        <v>0</v>
      </c>
      <c r="BK190" s="25"/>
      <c r="BL190" s="25">
        <v>90</v>
      </c>
      <c r="BW190" s="25">
        <v>21</v>
      </c>
      <c r="BX190" s="5" t="s">
        <v>484</v>
      </c>
    </row>
    <row r="191" spans="1:76" x14ac:dyDescent="0.25">
      <c r="A191" s="30" t="s">
        <v>49</v>
      </c>
      <c r="B191" s="31" t="s">
        <v>487</v>
      </c>
      <c r="C191" s="71" t="s">
        <v>488</v>
      </c>
      <c r="D191" s="72"/>
      <c r="E191" s="32" t="s">
        <v>3</v>
      </c>
      <c r="F191" s="32" t="s">
        <v>3</v>
      </c>
      <c r="G191" s="32" t="s">
        <v>3</v>
      </c>
      <c r="H191" s="1">
        <f>SUM(H192:H192)</f>
        <v>0</v>
      </c>
      <c r="I191" s="1">
        <f>SUM(I192:I192)</f>
        <v>0</v>
      </c>
      <c r="J191" s="1">
        <f>SUM(J192:J192)</f>
        <v>0</v>
      </c>
      <c r="K191" s="33" t="s">
        <v>49</v>
      </c>
      <c r="AI191" s="11" t="s">
        <v>49</v>
      </c>
      <c r="AS191" s="1">
        <f>SUM(AJ192:AJ192)</f>
        <v>0</v>
      </c>
      <c r="AT191" s="1">
        <f>SUM(AK192:AK192)</f>
        <v>0</v>
      </c>
      <c r="AU191" s="1">
        <f>SUM(AL192:AL192)</f>
        <v>0</v>
      </c>
    </row>
    <row r="192" spans="1:76" x14ac:dyDescent="0.25">
      <c r="A192" s="2" t="s">
        <v>489</v>
      </c>
      <c r="B192" s="3" t="s">
        <v>490</v>
      </c>
      <c r="C192" s="69" t="s">
        <v>491</v>
      </c>
      <c r="D192" s="70"/>
      <c r="E192" s="3" t="s">
        <v>492</v>
      </c>
      <c r="F192" s="25">
        <v>1</v>
      </c>
      <c r="G192" s="25">
        <v>0</v>
      </c>
      <c r="H192" s="25">
        <f>F192*AO192</f>
        <v>0</v>
      </c>
      <c r="I192" s="25">
        <f>F192*AP192</f>
        <v>0</v>
      </c>
      <c r="J192" s="25">
        <f>F192*G192</f>
        <v>0</v>
      </c>
      <c r="K192" s="26" t="s">
        <v>49</v>
      </c>
      <c r="Z192" s="25">
        <f>IF(AQ192="5",BJ192,0)</f>
        <v>0</v>
      </c>
      <c r="AB192" s="25">
        <f>IF(AQ192="1",BH192,0)</f>
        <v>0</v>
      </c>
      <c r="AC192" s="25">
        <f>IF(AQ192="1",BI192,0)</f>
        <v>0</v>
      </c>
      <c r="AD192" s="25">
        <f>IF(AQ192="7",BH192,0)</f>
        <v>0</v>
      </c>
      <c r="AE192" s="25">
        <f>IF(AQ192="7",BI192,0)</f>
        <v>0</v>
      </c>
      <c r="AF192" s="25">
        <f>IF(AQ192="2",BH192,0)</f>
        <v>0</v>
      </c>
      <c r="AG192" s="25">
        <f>IF(AQ192="2",BI192,0)</f>
        <v>0</v>
      </c>
      <c r="AH192" s="25">
        <f>IF(AQ192="0",BJ192,0)</f>
        <v>0</v>
      </c>
      <c r="AI192" s="11" t="s">
        <v>49</v>
      </c>
      <c r="AJ192" s="25">
        <f>IF(AN192=0,J192,0)</f>
        <v>0</v>
      </c>
      <c r="AK192" s="25">
        <f>IF(AN192=12,J192,0)</f>
        <v>0</v>
      </c>
      <c r="AL192" s="25">
        <f>IF(AN192=21,J192,0)</f>
        <v>0</v>
      </c>
      <c r="AN192" s="25">
        <v>21</v>
      </c>
      <c r="AO192" s="25">
        <f>G192*0.8</f>
        <v>0</v>
      </c>
      <c r="AP192" s="25">
        <f>G192*(1-0.8)</f>
        <v>0</v>
      </c>
      <c r="AQ192" s="27" t="s">
        <v>62</v>
      </c>
      <c r="AV192" s="25">
        <f>AW192+AX192</f>
        <v>0</v>
      </c>
      <c r="AW192" s="25">
        <f>F192*AO192</f>
        <v>0</v>
      </c>
      <c r="AX192" s="25">
        <f>F192*AP192</f>
        <v>0</v>
      </c>
      <c r="AY192" s="27" t="s">
        <v>493</v>
      </c>
      <c r="AZ192" s="27" t="s">
        <v>205</v>
      </c>
      <c r="BA192" s="11" t="s">
        <v>59</v>
      </c>
      <c r="BC192" s="25">
        <f>AW192+AX192</f>
        <v>0</v>
      </c>
      <c r="BD192" s="25">
        <f>G192/(100-BE192)*100</f>
        <v>0</v>
      </c>
      <c r="BE192" s="25">
        <v>0</v>
      </c>
      <c r="BF192" s="25">
        <f>192</f>
        <v>192</v>
      </c>
      <c r="BH192" s="25">
        <f>F192*AO192</f>
        <v>0</v>
      </c>
      <c r="BI192" s="25">
        <f>F192*AP192</f>
        <v>0</v>
      </c>
      <c r="BJ192" s="25">
        <f>F192*G192</f>
        <v>0</v>
      </c>
      <c r="BK192" s="25"/>
      <c r="BL192" s="25"/>
      <c r="BW192" s="25">
        <v>21</v>
      </c>
      <c r="BX192" s="5" t="s">
        <v>491</v>
      </c>
    </row>
    <row r="193" spans="1:11" ht="13.5" customHeight="1" x14ac:dyDescent="0.25">
      <c r="A193" s="34"/>
      <c r="B193" s="35" t="s">
        <v>60</v>
      </c>
      <c r="C193" s="73" t="s">
        <v>494</v>
      </c>
      <c r="D193" s="74"/>
      <c r="E193" s="74"/>
      <c r="F193" s="74"/>
      <c r="G193" s="74"/>
      <c r="H193" s="74"/>
      <c r="I193" s="74"/>
      <c r="J193" s="74"/>
      <c r="K193" s="75"/>
    </row>
    <row r="194" spans="1:11" x14ac:dyDescent="0.25">
      <c r="H194" s="76" t="s">
        <v>495</v>
      </c>
      <c r="I194" s="76"/>
      <c r="J194" s="36">
        <f>ROUND(J12+J18+J21+J33+J40+J48+J51+J56+J64+J70+J75+J79+J81+J83+J95+J98+J108+J120+J130+J154+J163+J168+J175+J185+J189+J191,0)</f>
        <v>0</v>
      </c>
    </row>
    <row r="195" spans="1:11" x14ac:dyDescent="0.25">
      <c r="A195" s="37" t="s">
        <v>496</v>
      </c>
    </row>
    <row r="196" spans="1:11" ht="12.75" customHeight="1" x14ac:dyDescent="0.25">
      <c r="A196" s="69" t="s">
        <v>49</v>
      </c>
      <c r="B196" s="70"/>
      <c r="C196" s="70"/>
      <c r="D196" s="70"/>
      <c r="E196" s="70"/>
      <c r="F196" s="70"/>
      <c r="G196" s="70"/>
      <c r="H196" s="70"/>
      <c r="I196" s="70"/>
      <c r="J196" s="70"/>
      <c r="K196" s="70"/>
    </row>
  </sheetData>
  <mergeCells count="212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1:D11"/>
    <mergeCell ref="H10:J10"/>
    <mergeCell ref="C12:D12"/>
    <mergeCell ref="C13:D13"/>
    <mergeCell ref="C14:K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20:K20"/>
    <mergeCell ref="C21:D21"/>
    <mergeCell ref="C22:D22"/>
    <mergeCell ref="C23:K23"/>
    <mergeCell ref="C24:D24"/>
    <mergeCell ref="C15:D15"/>
    <mergeCell ref="C16:D16"/>
    <mergeCell ref="C17:D17"/>
    <mergeCell ref="C18:D18"/>
    <mergeCell ref="C19:D19"/>
    <mergeCell ref="C30:D30"/>
    <mergeCell ref="C31:D31"/>
    <mergeCell ref="C32:D32"/>
    <mergeCell ref="C33:D33"/>
    <mergeCell ref="C34:D34"/>
    <mergeCell ref="C25:D25"/>
    <mergeCell ref="C26:K26"/>
    <mergeCell ref="C27:D27"/>
    <mergeCell ref="C28:D28"/>
    <mergeCell ref="C29:K29"/>
    <mergeCell ref="C40:D40"/>
    <mergeCell ref="C41:D41"/>
    <mergeCell ref="C42:K42"/>
    <mergeCell ref="C43:D43"/>
    <mergeCell ref="C44:K44"/>
    <mergeCell ref="C35:K35"/>
    <mergeCell ref="C36:D36"/>
    <mergeCell ref="C37:K37"/>
    <mergeCell ref="C38:D38"/>
    <mergeCell ref="C39:D39"/>
    <mergeCell ref="C50:K50"/>
    <mergeCell ref="C51:D51"/>
    <mergeCell ref="C52:D52"/>
    <mergeCell ref="C53:K53"/>
    <mergeCell ref="C54:D54"/>
    <mergeCell ref="C45:D45"/>
    <mergeCell ref="C46:K46"/>
    <mergeCell ref="C47:D47"/>
    <mergeCell ref="C48:D48"/>
    <mergeCell ref="C49:D49"/>
    <mergeCell ref="C60:K60"/>
    <mergeCell ref="C61:D61"/>
    <mergeCell ref="C62:D62"/>
    <mergeCell ref="C63:D63"/>
    <mergeCell ref="C64:D64"/>
    <mergeCell ref="C55:K55"/>
    <mergeCell ref="C56:D56"/>
    <mergeCell ref="C57:D57"/>
    <mergeCell ref="C58:K58"/>
    <mergeCell ref="C59:D59"/>
    <mergeCell ref="C70:D70"/>
    <mergeCell ref="C71:D71"/>
    <mergeCell ref="C72:K72"/>
    <mergeCell ref="C73:D73"/>
    <mergeCell ref="C74:K74"/>
    <mergeCell ref="C65:D65"/>
    <mergeCell ref="C66:K66"/>
    <mergeCell ref="C67:D67"/>
    <mergeCell ref="C68:D68"/>
    <mergeCell ref="C69:K69"/>
    <mergeCell ref="C80:D80"/>
    <mergeCell ref="C81:D81"/>
    <mergeCell ref="C82:D82"/>
    <mergeCell ref="C83:D83"/>
    <mergeCell ref="C84:D84"/>
    <mergeCell ref="C75:D75"/>
    <mergeCell ref="C76:D76"/>
    <mergeCell ref="C77:K77"/>
    <mergeCell ref="C78:D78"/>
    <mergeCell ref="C79:D79"/>
    <mergeCell ref="C90:D90"/>
    <mergeCell ref="C91:D91"/>
    <mergeCell ref="C92:K92"/>
    <mergeCell ref="C93:D93"/>
    <mergeCell ref="C94:K94"/>
    <mergeCell ref="C85:D85"/>
    <mergeCell ref="C86:D86"/>
    <mergeCell ref="C87:K87"/>
    <mergeCell ref="C88:D88"/>
    <mergeCell ref="C89:K89"/>
    <mergeCell ref="C100:D100"/>
    <mergeCell ref="C101:K101"/>
    <mergeCell ref="C102:D102"/>
    <mergeCell ref="C103:K103"/>
    <mergeCell ref="C104:D104"/>
    <mergeCell ref="C95:D95"/>
    <mergeCell ref="C96:D96"/>
    <mergeCell ref="C97:K97"/>
    <mergeCell ref="C98:D98"/>
    <mergeCell ref="C99:D99"/>
    <mergeCell ref="C110:K110"/>
    <mergeCell ref="C111:D111"/>
    <mergeCell ref="C112:K112"/>
    <mergeCell ref="C113:D113"/>
    <mergeCell ref="C114:K114"/>
    <mergeCell ref="C105:D105"/>
    <mergeCell ref="C106:D106"/>
    <mergeCell ref="C107:D107"/>
    <mergeCell ref="C108:D108"/>
    <mergeCell ref="C109:D109"/>
    <mergeCell ref="C120:D120"/>
    <mergeCell ref="C121:D121"/>
    <mergeCell ref="C122:K122"/>
    <mergeCell ref="C123:D123"/>
    <mergeCell ref="C124:K124"/>
    <mergeCell ref="C115:D115"/>
    <mergeCell ref="C116:K116"/>
    <mergeCell ref="C117:D117"/>
    <mergeCell ref="C118:K118"/>
    <mergeCell ref="C119:D119"/>
    <mergeCell ref="C130:D130"/>
    <mergeCell ref="C131:D131"/>
    <mergeCell ref="C132:K132"/>
    <mergeCell ref="C133:D133"/>
    <mergeCell ref="C134:K134"/>
    <mergeCell ref="C125:D125"/>
    <mergeCell ref="C126:K126"/>
    <mergeCell ref="C127:D127"/>
    <mergeCell ref="C128:D128"/>
    <mergeCell ref="C129:D129"/>
    <mergeCell ref="C140:K140"/>
    <mergeCell ref="C141:D141"/>
    <mergeCell ref="C142:K142"/>
    <mergeCell ref="C143:D143"/>
    <mergeCell ref="C144:K144"/>
    <mergeCell ref="C135:D135"/>
    <mergeCell ref="C136:K136"/>
    <mergeCell ref="C137:D137"/>
    <mergeCell ref="C138:K138"/>
    <mergeCell ref="C139:D139"/>
    <mergeCell ref="C150:K150"/>
    <mergeCell ref="C151:D151"/>
    <mergeCell ref="C152:D152"/>
    <mergeCell ref="C153:D153"/>
    <mergeCell ref="C154:D154"/>
    <mergeCell ref="C145:D145"/>
    <mergeCell ref="C146:D146"/>
    <mergeCell ref="C147:K147"/>
    <mergeCell ref="C148:D148"/>
    <mergeCell ref="C149:D149"/>
    <mergeCell ref="C160:D160"/>
    <mergeCell ref="C161:K161"/>
    <mergeCell ref="C162:D162"/>
    <mergeCell ref="C163:D163"/>
    <mergeCell ref="C164:D164"/>
    <mergeCell ref="C155:D155"/>
    <mergeCell ref="C156:K156"/>
    <mergeCell ref="C157:D157"/>
    <mergeCell ref="C158:D158"/>
    <mergeCell ref="C159:D159"/>
    <mergeCell ref="C170:D170"/>
    <mergeCell ref="C171:D171"/>
    <mergeCell ref="C172:D172"/>
    <mergeCell ref="C173:K173"/>
    <mergeCell ref="C174:D174"/>
    <mergeCell ref="C165:D165"/>
    <mergeCell ref="C166:K166"/>
    <mergeCell ref="C167:D167"/>
    <mergeCell ref="C168:D168"/>
    <mergeCell ref="C169:D169"/>
    <mergeCell ref="C180:D180"/>
    <mergeCell ref="C181:D181"/>
    <mergeCell ref="C182:D182"/>
    <mergeCell ref="C183:K183"/>
    <mergeCell ref="C184:D184"/>
    <mergeCell ref="C175:D175"/>
    <mergeCell ref="C176:D176"/>
    <mergeCell ref="C177:D177"/>
    <mergeCell ref="C178:K178"/>
    <mergeCell ref="C179:D179"/>
    <mergeCell ref="A196:K196"/>
    <mergeCell ref="C190:D190"/>
    <mergeCell ref="C191:D191"/>
    <mergeCell ref="C192:D192"/>
    <mergeCell ref="C193:K193"/>
    <mergeCell ref="H194:I194"/>
    <mergeCell ref="C185:D185"/>
    <mergeCell ref="C186:D186"/>
    <mergeCell ref="C187:D187"/>
    <mergeCell ref="C188:D188"/>
    <mergeCell ref="C189:D18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pane ySplit="11" topLeftCell="A12" activePane="bottomLeft" state="frozen"/>
      <selection pane="bottomLeft" activeCell="C36" sqref="C36:D36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4" width="12.140625" customWidth="1"/>
    <col min="5" max="7" width="27.85546875" customWidth="1"/>
    <col min="8" max="9" width="0" hidden="1" customWidth="1"/>
  </cols>
  <sheetData>
    <row r="1" spans="1:9" ht="54.75" customHeight="1" x14ac:dyDescent="0.25">
      <c r="A1" s="95" t="s">
        <v>497</v>
      </c>
      <c r="B1" s="95"/>
      <c r="C1" s="95"/>
      <c r="D1" s="95"/>
      <c r="E1" s="95"/>
      <c r="F1" s="95"/>
      <c r="G1" s="95"/>
    </row>
    <row r="2" spans="1:9" x14ac:dyDescent="0.25">
      <c r="A2" s="96" t="s">
        <v>1</v>
      </c>
      <c r="B2" s="88"/>
      <c r="C2" s="100" t="str">
        <f>'Stavební rozpočet'!C2</f>
        <v>Stevbní úpravy a změna užívání doplňkové stavby garáží (skladů)</v>
      </c>
      <c r="D2" s="88" t="s">
        <v>2</v>
      </c>
      <c r="E2" s="88" t="s">
        <v>3</v>
      </c>
      <c r="F2" s="87" t="s">
        <v>4</v>
      </c>
      <c r="G2" s="103" t="str">
        <f>'Stavební rozpočet'!I2</f>
        <v>SOŠ a SOÚ Kladno</v>
      </c>
    </row>
    <row r="3" spans="1:9" ht="15" customHeight="1" x14ac:dyDescent="0.25">
      <c r="A3" s="97"/>
      <c r="B3" s="70"/>
      <c r="C3" s="102"/>
      <c r="D3" s="70"/>
      <c r="E3" s="70"/>
      <c r="F3" s="70"/>
      <c r="G3" s="90"/>
    </row>
    <row r="4" spans="1:9" x14ac:dyDescent="0.25">
      <c r="A4" s="98" t="s">
        <v>6</v>
      </c>
      <c r="B4" s="70"/>
      <c r="C4" s="69" t="str">
        <f>'Stavební rozpočet'!C4</f>
        <v xml:space="preserve"> </v>
      </c>
      <c r="D4" s="70" t="s">
        <v>7</v>
      </c>
      <c r="E4" s="70" t="s">
        <v>3</v>
      </c>
      <c r="F4" s="69" t="s">
        <v>8</v>
      </c>
      <c r="G4" s="104" t="str">
        <f>'Stavební rozpočet'!I4</f>
        <v>Atelér Civilista s.r.o.</v>
      </c>
    </row>
    <row r="5" spans="1:9" ht="15" customHeight="1" x14ac:dyDescent="0.25">
      <c r="A5" s="97"/>
      <c r="B5" s="70"/>
      <c r="C5" s="70"/>
      <c r="D5" s="70"/>
      <c r="E5" s="70"/>
      <c r="F5" s="70"/>
      <c r="G5" s="90"/>
    </row>
    <row r="6" spans="1:9" x14ac:dyDescent="0.25">
      <c r="A6" s="98" t="s">
        <v>10</v>
      </c>
      <c r="B6" s="70"/>
      <c r="C6" s="69" t="str">
        <f>'Stavební rozpočet'!C6</f>
        <v>nám.Edvarda Beneše 23,53, Kladno, parc. č.543, k.ú.Kladno</v>
      </c>
      <c r="D6" s="70" t="s">
        <v>12</v>
      </c>
      <c r="E6" s="70" t="s">
        <v>3</v>
      </c>
      <c r="F6" s="69" t="s">
        <v>13</v>
      </c>
      <c r="G6" s="104" t="str">
        <f>'Stavební rozpočet'!I6</f>
        <v>Dle výběrového řízení</v>
      </c>
    </row>
    <row r="7" spans="1:9" ht="15" customHeight="1" x14ac:dyDescent="0.25">
      <c r="A7" s="97"/>
      <c r="B7" s="70"/>
      <c r="C7" s="70"/>
      <c r="D7" s="70"/>
      <c r="E7" s="70"/>
      <c r="F7" s="70"/>
      <c r="G7" s="90"/>
    </row>
    <row r="8" spans="1:9" x14ac:dyDescent="0.25">
      <c r="A8" s="98" t="s">
        <v>18</v>
      </c>
      <c r="B8" s="70"/>
      <c r="C8" s="69" t="str">
        <f>'Stavební rozpočet'!I8</f>
        <v> </v>
      </c>
      <c r="D8" s="70" t="s">
        <v>16</v>
      </c>
      <c r="E8" s="70" t="s">
        <v>17</v>
      </c>
      <c r="F8" s="70" t="s">
        <v>16</v>
      </c>
      <c r="G8" s="104" t="str">
        <f>'Stavební rozpočet'!G8</f>
        <v>01.08.2024</v>
      </c>
    </row>
    <row r="9" spans="1:9" x14ac:dyDescent="0.25">
      <c r="A9" s="99"/>
      <c r="B9" s="91"/>
      <c r="C9" s="91"/>
      <c r="D9" s="105"/>
      <c r="E9" s="91"/>
      <c r="F9" s="91"/>
      <c r="G9" s="92"/>
    </row>
    <row r="10" spans="1:9" x14ac:dyDescent="0.25">
      <c r="A10" s="38" t="s">
        <v>498</v>
      </c>
      <c r="B10" s="39" t="s">
        <v>21</v>
      </c>
      <c r="C10" s="40" t="s">
        <v>499</v>
      </c>
      <c r="E10" s="41" t="s">
        <v>500</v>
      </c>
      <c r="F10" s="42" t="s">
        <v>501</v>
      </c>
      <c r="G10" s="42" t="s">
        <v>502</v>
      </c>
    </row>
    <row r="11" spans="1:9" x14ac:dyDescent="0.25">
      <c r="A11" s="43" t="s">
        <v>49</v>
      </c>
      <c r="B11" s="44" t="s">
        <v>50</v>
      </c>
      <c r="C11" s="70" t="s">
        <v>51</v>
      </c>
      <c r="D11" s="70"/>
      <c r="E11" s="45">
        <f>'Stavební rozpočet'!H12</f>
        <v>0</v>
      </c>
      <c r="F11" s="45">
        <f>'Stavební rozpočet'!I12</f>
        <v>0</v>
      </c>
      <c r="G11" s="45">
        <f>'Stavební rozpočet'!J12</f>
        <v>0</v>
      </c>
      <c r="H11" s="27" t="s">
        <v>503</v>
      </c>
      <c r="I11" s="25">
        <f t="shared" ref="I11:I36" si="0">IF(H11="F",0,G11)</f>
        <v>0</v>
      </c>
    </row>
    <row r="12" spans="1:9" x14ac:dyDescent="0.25">
      <c r="A12" s="2" t="s">
        <v>49</v>
      </c>
      <c r="B12" s="3" t="s">
        <v>71</v>
      </c>
      <c r="C12" s="70" t="s">
        <v>72</v>
      </c>
      <c r="D12" s="70"/>
      <c r="E12" s="25">
        <f>'Stavební rozpočet'!H18</f>
        <v>0</v>
      </c>
      <c r="F12" s="25">
        <f>'Stavební rozpočet'!I18</f>
        <v>0</v>
      </c>
      <c r="G12" s="25">
        <f>'Stavební rozpočet'!J18</f>
        <v>0</v>
      </c>
      <c r="H12" s="27" t="s">
        <v>503</v>
      </c>
      <c r="I12" s="25">
        <f t="shared" si="0"/>
        <v>0</v>
      </c>
    </row>
    <row r="13" spans="1:9" x14ac:dyDescent="0.25">
      <c r="A13" s="2" t="s">
        <v>49</v>
      </c>
      <c r="B13" s="3" t="s">
        <v>79</v>
      </c>
      <c r="C13" s="70" t="s">
        <v>80</v>
      </c>
      <c r="D13" s="70"/>
      <c r="E13" s="25">
        <f>'Stavební rozpočet'!H21</f>
        <v>0</v>
      </c>
      <c r="F13" s="25">
        <f>'Stavební rozpočet'!I21</f>
        <v>0</v>
      </c>
      <c r="G13" s="25">
        <f>'Stavební rozpočet'!J21</f>
        <v>0</v>
      </c>
      <c r="H13" s="27" t="s">
        <v>503</v>
      </c>
      <c r="I13" s="25">
        <f t="shared" si="0"/>
        <v>0</v>
      </c>
    </row>
    <row r="14" spans="1:9" x14ac:dyDescent="0.25">
      <c r="A14" s="2" t="s">
        <v>49</v>
      </c>
      <c r="B14" s="3" t="s">
        <v>110</v>
      </c>
      <c r="C14" s="70" t="s">
        <v>111</v>
      </c>
      <c r="D14" s="70"/>
      <c r="E14" s="25">
        <f>'Stavební rozpočet'!H33</f>
        <v>0</v>
      </c>
      <c r="F14" s="25">
        <f>'Stavební rozpočet'!I33</f>
        <v>0</v>
      </c>
      <c r="G14" s="25">
        <f>'Stavební rozpočet'!J33</f>
        <v>0</v>
      </c>
      <c r="H14" s="27" t="s">
        <v>503</v>
      </c>
      <c r="I14" s="25">
        <f t="shared" si="0"/>
        <v>0</v>
      </c>
    </row>
    <row r="15" spans="1:9" x14ac:dyDescent="0.25">
      <c r="A15" s="2" t="s">
        <v>49</v>
      </c>
      <c r="B15" s="3" t="s">
        <v>129</v>
      </c>
      <c r="C15" s="70" t="s">
        <v>130</v>
      </c>
      <c r="D15" s="70"/>
      <c r="E15" s="25">
        <f>'Stavební rozpočet'!H40</f>
        <v>0</v>
      </c>
      <c r="F15" s="25">
        <f>'Stavební rozpočet'!I40</f>
        <v>0</v>
      </c>
      <c r="G15" s="25">
        <f>'Stavební rozpočet'!J40</f>
        <v>0</v>
      </c>
      <c r="H15" s="27" t="s">
        <v>503</v>
      </c>
      <c r="I15" s="25">
        <f t="shared" si="0"/>
        <v>0</v>
      </c>
    </row>
    <row r="16" spans="1:9" x14ac:dyDescent="0.25">
      <c r="A16" s="2" t="s">
        <v>49</v>
      </c>
      <c r="B16" s="3" t="s">
        <v>146</v>
      </c>
      <c r="C16" s="70" t="s">
        <v>147</v>
      </c>
      <c r="D16" s="70"/>
      <c r="E16" s="25">
        <f>'Stavební rozpočet'!H48</f>
        <v>0</v>
      </c>
      <c r="F16" s="25">
        <f>'Stavební rozpočet'!I48</f>
        <v>0</v>
      </c>
      <c r="G16" s="25">
        <f>'Stavební rozpočet'!J48</f>
        <v>0</v>
      </c>
      <c r="H16" s="27" t="s">
        <v>503</v>
      </c>
      <c r="I16" s="25">
        <f t="shared" si="0"/>
        <v>0</v>
      </c>
    </row>
    <row r="17" spans="1:9" x14ac:dyDescent="0.25">
      <c r="A17" s="2" t="s">
        <v>49</v>
      </c>
      <c r="B17" s="3" t="s">
        <v>155</v>
      </c>
      <c r="C17" s="70" t="s">
        <v>156</v>
      </c>
      <c r="D17" s="70"/>
      <c r="E17" s="25">
        <f>'Stavební rozpočet'!H51</f>
        <v>0</v>
      </c>
      <c r="F17" s="25">
        <f>'Stavební rozpočet'!I51</f>
        <v>0</v>
      </c>
      <c r="G17" s="25">
        <f>'Stavební rozpočet'!J51</f>
        <v>0</v>
      </c>
      <c r="H17" s="27" t="s">
        <v>503</v>
      </c>
      <c r="I17" s="25">
        <f t="shared" si="0"/>
        <v>0</v>
      </c>
    </row>
    <row r="18" spans="1:9" x14ac:dyDescent="0.25">
      <c r="A18" s="2" t="s">
        <v>49</v>
      </c>
      <c r="B18" s="3" t="s">
        <v>167</v>
      </c>
      <c r="C18" s="70" t="s">
        <v>168</v>
      </c>
      <c r="D18" s="70"/>
      <c r="E18" s="25">
        <f>'Stavební rozpočet'!H56</f>
        <v>0</v>
      </c>
      <c r="F18" s="25">
        <f>'Stavební rozpočet'!I56</f>
        <v>0</v>
      </c>
      <c r="G18" s="25">
        <f>'Stavební rozpočet'!J56</f>
        <v>0</v>
      </c>
      <c r="H18" s="27" t="s">
        <v>503</v>
      </c>
      <c r="I18" s="25">
        <f t="shared" si="0"/>
        <v>0</v>
      </c>
    </row>
    <row r="19" spans="1:9" x14ac:dyDescent="0.25">
      <c r="A19" s="2" t="s">
        <v>49</v>
      </c>
      <c r="B19" s="3" t="s">
        <v>186</v>
      </c>
      <c r="C19" s="70" t="s">
        <v>187</v>
      </c>
      <c r="D19" s="70"/>
      <c r="E19" s="25">
        <f>'Stavební rozpočet'!H64</f>
        <v>0</v>
      </c>
      <c r="F19" s="25">
        <f>'Stavební rozpočet'!I64</f>
        <v>0</v>
      </c>
      <c r="G19" s="25">
        <f>'Stavební rozpočet'!J64</f>
        <v>0</v>
      </c>
      <c r="H19" s="27" t="s">
        <v>503</v>
      </c>
      <c r="I19" s="25">
        <f t="shared" si="0"/>
        <v>0</v>
      </c>
    </row>
    <row r="20" spans="1:9" x14ac:dyDescent="0.25">
      <c r="A20" s="2" t="s">
        <v>49</v>
      </c>
      <c r="B20" s="3" t="s">
        <v>199</v>
      </c>
      <c r="C20" s="70" t="s">
        <v>200</v>
      </c>
      <c r="D20" s="70"/>
      <c r="E20" s="25">
        <f>'Stavební rozpočet'!H70</f>
        <v>0</v>
      </c>
      <c r="F20" s="25">
        <f>'Stavební rozpočet'!I70</f>
        <v>0</v>
      </c>
      <c r="G20" s="25">
        <f>'Stavební rozpočet'!J70</f>
        <v>0</v>
      </c>
      <c r="H20" s="27" t="s">
        <v>503</v>
      </c>
      <c r="I20" s="25">
        <f t="shared" si="0"/>
        <v>0</v>
      </c>
    </row>
    <row r="21" spans="1:9" x14ac:dyDescent="0.25">
      <c r="A21" s="2" t="s">
        <v>49</v>
      </c>
      <c r="B21" s="3" t="s">
        <v>210</v>
      </c>
      <c r="C21" s="70" t="s">
        <v>211</v>
      </c>
      <c r="D21" s="70"/>
      <c r="E21" s="25">
        <f>'Stavební rozpočet'!H75</f>
        <v>0</v>
      </c>
      <c r="F21" s="25">
        <f>'Stavební rozpočet'!I75</f>
        <v>0</v>
      </c>
      <c r="G21" s="25">
        <f>'Stavební rozpočet'!J75</f>
        <v>0</v>
      </c>
      <c r="H21" s="27" t="s">
        <v>503</v>
      </c>
      <c r="I21" s="25">
        <f t="shared" si="0"/>
        <v>0</v>
      </c>
    </row>
    <row r="22" spans="1:9" x14ac:dyDescent="0.25">
      <c r="A22" s="2" t="s">
        <v>49</v>
      </c>
      <c r="B22" s="3" t="s">
        <v>220</v>
      </c>
      <c r="C22" s="70" t="s">
        <v>221</v>
      </c>
      <c r="D22" s="70"/>
      <c r="E22" s="25">
        <f>'Stavební rozpočet'!H79</f>
        <v>0</v>
      </c>
      <c r="F22" s="25">
        <f>'Stavební rozpočet'!I79</f>
        <v>0</v>
      </c>
      <c r="G22" s="25">
        <f>'Stavební rozpočet'!J79</f>
        <v>0</v>
      </c>
      <c r="H22" s="27" t="s">
        <v>503</v>
      </c>
      <c r="I22" s="25">
        <f t="shared" si="0"/>
        <v>0</v>
      </c>
    </row>
    <row r="23" spans="1:9" x14ac:dyDescent="0.25">
      <c r="A23" s="2" t="s">
        <v>49</v>
      </c>
      <c r="B23" s="3" t="s">
        <v>226</v>
      </c>
      <c r="C23" s="70" t="s">
        <v>227</v>
      </c>
      <c r="D23" s="70"/>
      <c r="E23" s="25">
        <f>'Stavební rozpočet'!H81</f>
        <v>0</v>
      </c>
      <c r="F23" s="25">
        <f>'Stavební rozpočet'!I81</f>
        <v>0</v>
      </c>
      <c r="G23" s="25">
        <f>'Stavební rozpočet'!J81</f>
        <v>0</v>
      </c>
      <c r="H23" s="27" t="s">
        <v>503</v>
      </c>
      <c r="I23" s="25">
        <f t="shared" si="0"/>
        <v>0</v>
      </c>
    </row>
    <row r="24" spans="1:9" x14ac:dyDescent="0.25">
      <c r="A24" s="2" t="s">
        <v>49</v>
      </c>
      <c r="B24" s="3" t="s">
        <v>232</v>
      </c>
      <c r="C24" s="70" t="s">
        <v>233</v>
      </c>
      <c r="D24" s="70"/>
      <c r="E24" s="25">
        <f>'Stavební rozpočet'!H83</f>
        <v>0</v>
      </c>
      <c r="F24" s="25">
        <f>'Stavební rozpočet'!I83</f>
        <v>0</v>
      </c>
      <c r="G24" s="25">
        <f>'Stavební rozpočet'!J83</f>
        <v>0</v>
      </c>
      <c r="H24" s="27" t="s">
        <v>503</v>
      </c>
      <c r="I24" s="25">
        <f t="shared" si="0"/>
        <v>0</v>
      </c>
    </row>
    <row r="25" spans="1:9" x14ac:dyDescent="0.25">
      <c r="A25" s="2" t="s">
        <v>49</v>
      </c>
      <c r="B25" s="3" t="s">
        <v>257</v>
      </c>
      <c r="C25" s="70" t="s">
        <v>258</v>
      </c>
      <c r="D25" s="70"/>
      <c r="E25" s="25">
        <f>'Stavební rozpočet'!H95</f>
        <v>0</v>
      </c>
      <c r="F25" s="25">
        <f>'Stavební rozpočet'!I95</f>
        <v>0</v>
      </c>
      <c r="G25" s="25">
        <f>'Stavební rozpočet'!J95</f>
        <v>0</v>
      </c>
      <c r="H25" s="27" t="s">
        <v>503</v>
      </c>
      <c r="I25" s="25">
        <f t="shared" si="0"/>
        <v>0</v>
      </c>
    </row>
    <row r="26" spans="1:9" x14ac:dyDescent="0.25">
      <c r="A26" s="2" t="s">
        <v>49</v>
      </c>
      <c r="B26" s="3" t="s">
        <v>264</v>
      </c>
      <c r="C26" s="70" t="s">
        <v>265</v>
      </c>
      <c r="D26" s="70"/>
      <c r="E26" s="25">
        <f>'Stavební rozpočet'!H98</f>
        <v>0</v>
      </c>
      <c r="F26" s="25">
        <f>'Stavební rozpočet'!I98</f>
        <v>0</v>
      </c>
      <c r="G26" s="25">
        <f>'Stavební rozpočet'!J98</f>
        <v>0</v>
      </c>
      <c r="H26" s="27" t="s">
        <v>503</v>
      </c>
      <c r="I26" s="25">
        <f t="shared" si="0"/>
        <v>0</v>
      </c>
    </row>
    <row r="27" spans="1:9" x14ac:dyDescent="0.25">
      <c r="A27" s="2" t="s">
        <v>49</v>
      </c>
      <c r="B27" s="3" t="s">
        <v>290</v>
      </c>
      <c r="C27" s="70" t="s">
        <v>291</v>
      </c>
      <c r="D27" s="70"/>
      <c r="E27" s="25">
        <f>'Stavební rozpočet'!H108</f>
        <v>0</v>
      </c>
      <c r="F27" s="25">
        <f>'Stavební rozpočet'!I108</f>
        <v>0</v>
      </c>
      <c r="G27" s="25">
        <f>'Stavební rozpočet'!J108</f>
        <v>0</v>
      </c>
      <c r="H27" s="27" t="s">
        <v>503</v>
      </c>
      <c r="I27" s="25">
        <f t="shared" si="0"/>
        <v>0</v>
      </c>
    </row>
    <row r="28" spans="1:9" x14ac:dyDescent="0.25">
      <c r="A28" s="2" t="s">
        <v>49</v>
      </c>
      <c r="B28" s="3" t="s">
        <v>316</v>
      </c>
      <c r="C28" s="70" t="s">
        <v>317</v>
      </c>
      <c r="D28" s="70"/>
      <c r="E28" s="25">
        <f>'Stavební rozpočet'!H120</f>
        <v>0</v>
      </c>
      <c r="F28" s="25">
        <f>'Stavební rozpočet'!I120</f>
        <v>0</v>
      </c>
      <c r="G28" s="25">
        <f>'Stavební rozpočet'!J120</f>
        <v>0</v>
      </c>
      <c r="H28" s="27" t="s">
        <v>503</v>
      </c>
      <c r="I28" s="25">
        <f t="shared" si="0"/>
        <v>0</v>
      </c>
    </row>
    <row r="29" spans="1:9" x14ac:dyDescent="0.25">
      <c r="A29" s="2" t="s">
        <v>49</v>
      </c>
      <c r="B29" s="3" t="s">
        <v>337</v>
      </c>
      <c r="C29" s="70" t="s">
        <v>338</v>
      </c>
      <c r="D29" s="70"/>
      <c r="E29" s="25">
        <f>'Stavební rozpočet'!H130</f>
        <v>0</v>
      </c>
      <c r="F29" s="25">
        <f>'Stavební rozpočet'!I130</f>
        <v>0</v>
      </c>
      <c r="G29" s="25">
        <f>'Stavební rozpočet'!J130</f>
        <v>0</v>
      </c>
      <c r="H29" s="27" t="s">
        <v>503</v>
      </c>
      <c r="I29" s="25">
        <f t="shared" si="0"/>
        <v>0</v>
      </c>
    </row>
    <row r="30" spans="1:9" x14ac:dyDescent="0.25">
      <c r="A30" s="2" t="s">
        <v>49</v>
      </c>
      <c r="B30" s="3" t="s">
        <v>391</v>
      </c>
      <c r="C30" s="70" t="s">
        <v>392</v>
      </c>
      <c r="D30" s="70"/>
      <c r="E30" s="25">
        <f>'Stavební rozpočet'!H154</f>
        <v>0</v>
      </c>
      <c r="F30" s="25">
        <f>'Stavební rozpočet'!I154</f>
        <v>0</v>
      </c>
      <c r="G30" s="25">
        <f>'Stavební rozpočet'!J154</f>
        <v>0</v>
      </c>
      <c r="H30" s="27" t="s">
        <v>503</v>
      </c>
      <c r="I30" s="25">
        <f t="shared" si="0"/>
        <v>0</v>
      </c>
    </row>
    <row r="31" spans="1:9" x14ac:dyDescent="0.25">
      <c r="A31" s="2" t="s">
        <v>49</v>
      </c>
      <c r="B31" s="3" t="s">
        <v>414</v>
      </c>
      <c r="C31" s="70" t="s">
        <v>415</v>
      </c>
      <c r="D31" s="70"/>
      <c r="E31" s="25">
        <f>'Stavební rozpočet'!H163</f>
        <v>0</v>
      </c>
      <c r="F31" s="25">
        <f>'Stavební rozpočet'!I163</f>
        <v>0</v>
      </c>
      <c r="G31" s="25">
        <f>'Stavební rozpočet'!J163</f>
        <v>0</v>
      </c>
      <c r="H31" s="27" t="s">
        <v>503</v>
      </c>
      <c r="I31" s="25">
        <f t="shared" si="0"/>
        <v>0</v>
      </c>
    </row>
    <row r="32" spans="1:9" x14ac:dyDescent="0.25">
      <c r="A32" s="2" t="s">
        <v>49</v>
      </c>
      <c r="B32" s="3" t="s">
        <v>427</v>
      </c>
      <c r="C32" s="70" t="s">
        <v>428</v>
      </c>
      <c r="D32" s="70"/>
      <c r="E32" s="25">
        <f>'Stavební rozpočet'!H168</f>
        <v>0</v>
      </c>
      <c r="F32" s="25">
        <f>'Stavební rozpočet'!I168</f>
        <v>0</v>
      </c>
      <c r="G32" s="25">
        <f>'Stavební rozpočet'!J168</f>
        <v>0</v>
      </c>
      <c r="H32" s="27" t="s">
        <v>503</v>
      </c>
      <c r="I32" s="25">
        <f t="shared" si="0"/>
        <v>0</v>
      </c>
    </row>
    <row r="33" spans="1:9" x14ac:dyDescent="0.25">
      <c r="A33" s="2" t="s">
        <v>49</v>
      </c>
      <c r="B33" s="3" t="s">
        <v>445</v>
      </c>
      <c r="C33" s="70" t="s">
        <v>446</v>
      </c>
      <c r="D33" s="70"/>
      <c r="E33" s="25">
        <f>'Stavební rozpočet'!H175</f>
        <v>0</v>
      </c>
      <c r="F33" s="25">
        <f>'Stavební rozpočet'!I175</f>
        <v>0</v>
      </c>
      <c r="G33" s="25">
        <f>'Stavební rozpočet'!J175</f>
        <v>0</v>
      </c>
      <c r="H33" s="27" t="s">
        <v>503</v>
      </c>
      <c r="I33" s="25">
        <f t="shared" si="0"/>
        <v>0</v>
      </c>
    </row>
    <row r="34" spans="1:9" x14ac:dyDescent="0.25">
      <c r="A34" s="2" t="s">
        <v>49</v>
      </c>
      <c r="B34" s="3" t="s">
        <v>468</v>
      </c>
      <c r="C34" s="70" t="s">
        <v>469</v>
      </c>
      <c r="D34" s="70"/>
      <c r="E34" s="25">
        <f>'Stavební rozpočet'!H185</f>
        <v>0</v>
      </c>
      <c r="F34" s="25">
        <f>'Stavební rozpočet'!I185</f>
        <v>0</v>
      </c>
      <c r="G34" s="25">
        <f>'Stavební rozpočet'!J185</f>
        <v>0</v>
      </c>
      <c r="H34" s="27" t="s">
        <v>503</v>
      </c>
      <c r="I34" s="25">
        <f t="shared" si="0"/>
        <v>0</v>
      </c>
    </row>
    <row r="35" spans="1:9" x14ac:dyDescent="0.25">
      <c r="A35" s="2" t="s">
        <v>49</v>
      </c>
      <c r="B35" s="3" t="s">
        <v>433</v>
      </c>
      <c r="C35" s="70" t="s">
        <v>481</v>
      </c>
      <c r="D35" s="70"/>
      <c r="E35" s="25">
        <f>'Stavební rozpočet'!H189</f>
        <v>0</v>
      </c>
      <c r="F35" s="25">
        <f>'Stavební rozpočet'!I189</f>
        <v>0</v>
      </c>
      <c r="G35" s="25">
        <f>'Stavební rozpočet'!J189</f>
        <v>0</v>
      </c>
      <c r="H35" s="27" t="s">
        <v>503</v>
      </c>
      <c r="I35" s="25">
        <f t="shared" si="0"/>
        <v>0</v>
      </c>
    </row>
    <row r="36" spans="1:9" x14ac:dyDescent="0.25">
      <c r="A36" s="2" t="s">
        <v>49</v>
      </c>
      <c r="B36" s="3" t="s">
        <v>487</v>
      </c>
      <c r="C36" s="70" t="s">
        <v>488</v>
      </c>
      <c r="D36" s="70"/>
      <c r="E36" s="25">
        <f>'Stavební rozpočet'!H191</f>
        <v>0</v>
      </c>
      <c r="F36" s="25">
        <f>'Stavební rozpočet'!I191</f>
        <v>0</v>
      </c>
      <c r="G36" s="25">
        <f>'Stavební rozpočet'!J191</f>
        <v>0</v>
      </c>
      <c r="H36" s="27" t="s">
        <v>503</v>
      </c>
      <c r="I36" s="25">
        <f t="shared" si="0"/>
        <v>0</v>
      </c>
    </row>
    <row r="37" spans="1:9" x14ac:dyDescent="0.25">
      <c r="F37" s="4" t="s">
        <v>495</v>
      </c>
      <c r="G37" s="46">
        <f>ROUND(SUM(I11:I36),0)</f>
        <v>0</v>
      </c>
    </row>
  </sheetData>
  <mergeCells count="51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D11"/>
    <mergeCell ref="C8:C9"/>
    <mergeCell ref="E2:E3"/>
    <mergeCell ref="E4:E5"/>
    <mergeCell ref="E6:E7"/>
    <mergeCell ref="E8:E9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41" t="s">
        <v>504</v>
      </c>
      <c r="B1" s="95"/>
      <c r="C1" s="95"/>
      <c r="D1" s="95"/>
      <c r="E1" s="95"/>
      <c r="F1" s="95"/>
      <c r="G1" s="95"/>
      <c r="H1" s="95"/>
      <c r="I1" s="95"/>
    </row>
    <row r="2" spans="1:9" x14ac:dyDescent="0.25">
      <c r="A2" s="96" t="s">
        <v>1</v>
      </c>
      <c r="B2" s="88"/>
      <c r="C2" s="100" t="str">
        <f>'Stavební rozpočet'!C2</f>
        <v>Stevbní úpravy a změna užívání doplňkové stavby garáží (skladů)</v>
      </c>
      <c r="D2" s="101"/>
      <c r="E2" s="87" t="s">
        <v>4</v>
      </c>
      <c r="F2" s="87" t="str">
        <f>'Stavební rozpočet'!I2</f>
        <v>SOŠ a SOÚ Kladno</v>
      </c>
      <c r="G2" s="88"/>
      <c r="H2" s="87" t="s">
        <v>505</v>
      </c>
      <c r="I2" s="89" t="s">
        <v>49</v>
      </c>
    </row>
    <row r="3" spans="1:9" ht="15" customHeight="1" x14ac:dyDescent="0.25">
      <c r="A3" s="97"/>
      <c r="B3" s="70"/>
      <c r="C3" s="102"/>
      <c r="D3" s="102"/>
      <c r="E3" s="70"/>
      <c r="F3" s="70"/>
      <c r="G3" s="70"/>
      <c r="H3" s="70"/>
      <c r="I3" s="90"/>
    </row>
    <row r="4" spans="1:9" x14ac:dyDescent="0.25">
      <c r="A4" s="98" t="s">
        <v>6</v>
      </c>
      <c r="B4" s="70"/>
      <c r="C4" s="69" t="str">
        <f>'Stavební rozpočet'!C4</f>
        <v xml:space="preserve"> </v>
      </c>
      <c r="D4" s="70"/>
      <c r="E4" s="69" t="s">
        <v>8</v>
      </c>
      <c r="F4" s="69" t="str">
        <f>'Stavební rozpočet'!I4</f>
        <v>Atelér Civilista s.r.o.</v>
      </c>
      <c r="G4" s="70"/>
      <c r="H4" s="69" t="s">
        <v>505</v>
      </c>
      <c r="I4" s="90" t="s">
        <v>49</v>
      </c>
    </row>
    <row r="5" spans="1:9" ht="15" customHeight="1" x14ac:dyDescent="0.25">
      <c r="A5" s="97"/>
      <c r="B5" s="70"/>
      <c r="C5" s="70"/>
      <c r="D5" s="70"/>
      <c r="E5" s="70"/>
      <c r="F5" s="70"/>
      <c r="G5" s="70"/>
      <c r="H5" s="70"/>
      <c r="I5" s="90"/>
    </row>
    <row r="6" spans="1:9" x14ac:dyDescent="0.25">
      <c r="A6" s="98" t="s">
        <v>10</v>
      </c>
      <c r="B6" s="70"/>
      <c r="C6" s="69" t="str">
        <f>'Stavební rozpočet'!C6</f>
        <v>nám.Edvarda Beneše 23,53, Kladno, parc. č.543, k.ú.Kladno</v>
      </c>
      <c r="D6" s="70"/>
      <c r="E6" s="69" t="s">
        <v>13</v>
      </c>
      <c r="F6" s="69" t="str">
        <f>'Stavební rozpočet'!I6</f>
        <v>Dle výběrového řízení</v>
      </c>
      <c r="G6" s="70"/>
      <c r="H6" s="69" t="s">
        <v>505</v>
      </c>
      <c r="I6" s="90" t="s">
        <v>49</v>
      </c>
    </row>
    <row r="7" spans="1:9" ht="15" customHeight="1" x14ac:dyDescent="0.25">
      <c r="A7" s="97"/>
      <c r="B7" s="70"/>
      <c r="C7" s="70"/>
      <c r="D7" s="70"/>
      <c r="E7" s="70"/>
      <c r="F7" s="70"/>
      <c r="G7" s="70"/>
      <c r="H7" s="70"/>
      <c r="I7" s="90"/>
    </row>
    <row r="8" spans="1:9" x14ac:dyDescent="0.25">
      <c r="A8" s="98" t="s">
        <v>7</v>
      </c>
      <c r="B8" s="70"/>
      <c r="C8" s="69" t="str">
        <f>'Stavební rozpočet'!G4</f>
        <v xml:space="preserve"> </v>
      </c>
      <c r="D8" s="70"/>
      <c r="E8" s="69" t="s">
        <v>12</v>
      </c>
      <c r="F8" s="69" t="str">
        <f>'Stavební rozpočet'!G6</f>
        <v xml:space="preserve"> </v>
      </c>
      <c r="G8" s="70"/>
      <c r="H8" s="70" t="s">
        <v>506</v>
      </c>
      <c r="I8" s="142">
        <v>105</v>
      </c>
    </row>
    <row r="9" spans="1:9" x14ac:dyDescent="0.25">
      <c r="A9" s="97"/>
      <c r="B9" s="70"/>
      <c r="C9" s="70"/>
      <c r="D9" s="70"/>
      <c r="E9" s="70"/>
      <c r="F9" s="70"/>
      <c r="G9" s="70"/>
      <c r="H9" s="70"/>
      <c r="I9" s="90"/>
    </row>
    <row r="10" spans="1:9" x14ac:dyDescent="0.25">
      <c r="A10" s="98" t="s">
        <v>15</v>
      </c>
      <c r="B10" s="70"/>
      <c r="C10" s="69" t="str">
        <f>'Stavební rozpočet'!C8</f>
        <v xml:space="preserve"> </v>
      </c>
      <c r="D10" s="70"/>
      <c r="E10" s="69" t="s">
        <v>18</v>
      </c>
      <c r="F10" s="69" t="str">
        <f>'Stavební rozpočet'!I8</f>
        <v> </v>
      </c>
      <c r="G10" s="70"/>
      <c r="H10" s="70" t="s">
        <v>507</v>
      </c>
      <c r="I10" s="104" t="str">
        <f>'Stavební rozpočet'!G8</f>
        <v>01.08.2024</v>
      </c>
    </row>
    <row r="11" spans="1:9" x14ac:dyDescent="0.25">
      <c r="A11" s="140"/>
      <c r="B11" s="105"/>
      <c r="C11" s="105"/>
      <c r="D11" s="105"/>
      <c r="E11" s="105"/>
      <c r="F11" s="105"/>
      <c r="G11" s="105"/>
      <c r="H11" s="105"/>
      <c r="I11" s="136"/>
    </row>
    <row r="12" spans="1:9" ht="23.25" x14ac:dyDescent="0.25">
      <c r="A12" s="137" t="s">
        <v>508</v>
      </c>
      <c r="B12" s="137"/>
      <c r="C12" s="137"/>
      <c r="D12" s="137"/>
      <c r="E12" s="137"/>
      <c r="F12" s="137"/>
      <c r="G12" s="137"/>
      <c r="H12" s="137"/>
      <c r="I12" s="137"/>
    </row>
    <row r="13" spans="1:9" ht="26.25" customHeight="1" x14ac:dyDescent="0.25">
      <c r="A13" s="47" t="s">
        <v>509</v>
      </c>
      <c r="B13" s="138" t="s">
        <v>510</v>
      </c>
      <c r="C13" s="139"/>
      <c r="D13" s="48" t="s">
        <v>511</v>
      </c>
      <c r="E13" s="138" t="s">
        <v>512</v>
      </c>
      <c r="F13" s="139"/>
      <c r="G13" s="48" t="s">
        <v>513</v>
      </c>
      <c r="H13" s="138" t="s">
        <v>514</v>
      </c>
      <c r="I13" s="139"/>
    </row>
    <row r="14" spans="1:9" ht="15.75" x14ac:dyDescent="0.25">
      <c r="A14" s="49" t="s">
        <v>515</v>
      </c>
      <c r="B14" s="50" t="s">
        <v>516</v>
      </c>
      <c r="C14" s="51">
        <f>SUM('Stavební rozpočet'!AB12:AB193)</f>
        <v>0</v>
      </c>
      <c r="D14" s="126" t="s">
        <v>517</v>
      </c>
      <c r="E14" s="127"/>
      <c r="F14" s="51">
        <f>VORN!I15</f>
        <v>0</v>
      </c>
      <c r="G14" s="126" t="s">
        <v>518</v>
      </c>
      <c r="H14" s="127"/>
      <c r="I14" s="52">
        <f>VORN!I21</f>
        <v>0</v>
      </c>
    </row>
    <row r="15" spans="1:9" ht="15.75" x14ac:dyDescent="0.25">
      <c r="A15" s="53" t="s">
        <v>49</v>
      </c>
      <c r="B15" s="50" t="s">
        <v>34</v>
      </c>
      <c r="C15" s="51">
        <f>SUM('Stavební rozpočet'!AC12:AC193)</f>
        <v>0</v>
      </c>
      <c r="D15" s="126" t="s">
        <v>519</v>
      </c>
      <c r="E15" s="127"/>
      <c r="F15" s="51">
        <f>VORN!I16</f>
        <v>0</v>
      </c>
      <c r="G15" s="126" t="s">
        <v>520</v>
      </c>
      <c r="H15" s="127"/>
      <c r="I15" s="52">
        <f>VORN!I22</f>
        <v>0</v>
      </c>
    </row>
    <row r="16" spans="1:9" ht="15.75" x14ac:dyDescent="0.25">
      <c r="A16" s="49" t="s">
        <v>521</v>
      </c>
      <c r="B16" s="50" t="s">
        <v>516</v>
      </c>
      <c r="C16" s="51">
        <f>SUM('Stavební rozpočet'!AD12:AD193)</f>
        <v>0</v>
      </c>
      <c r="D16" s="126" t="s">
        <v>522</v>
      </c>
      <c r="E16" s="127"/>
      <c r="F16" s="51">
        <f>VORN!I17</f>
        <v>0</v>
      </c>
      <c r="G16" s="126" t="s">
        <v>523</v>
      </c>
      <c r="H16" s="127"/>
      <c r="I16" s="52">
        <f>VORN!I23</f>
        <v>0</v>
      </c>
    </row>
    <row r="17" spans="1:9" ht="15.75" x14ac:dyDescent="0.25">
      <c r="A17" s="53" t="s">
        <v>49</v>
      </c>
      <c r="B17" s="50" t="s">
        <v>34</v>
      </c>
      <c r="C17" s="51">
        <f>SUM('Stavební rozpočet'!AE12:AE193)</f>
        <v>0</v>
      </c>
      <c r="D17" s="126" t="s">
        <v>49</v>
      </c>
      <c r="E17" s="127"/>
      <c r="F17" s="52" t="s">
        <v>49</v>
      </c>
      <c r="G17" s="126" t="s">
        <v>524</v>
      </c>
      <c r="H17" s="127"/>
      <c r="I17" s="52">
        <f>VORN!I24</f>
        <v>0</v>
      </c>
    </row>
    <row r="18" spans="1:9" ht="15.75" x14ac:dyDescent="0.25">
      <c r="A18" s="49" t="s">
        <v>525</v>
      </c>
      <c r="B18" s="50" t="s">
        <v>516</v>
      </c>
      <c r="C18" s="51">
        <f>SUM('Stavební rozpočet'!AF12:AF193)</f>
        <v>0</v>
      </c>
      <c r="D18" s="126" t="s">
        <v>49</v>
      </c>
      <c r="E18" s="127"/>
      <c r="F18" s="52" t="s">
        <v>49</v>
      </c>
      <c r="G18" s="126" t="s">
        <v>526</v>
      </c>
      <c r="H18" s="127"/>
      <c r="I18" s="52">
        <f>VORN!I25</f>
        <v>0</v>
      </c>
    </row>
    <row r="19" spans="1:9" ht="15.75" x14ac:dyDescent="0.25">
      <c r="A19" s="53" t="s">
        <v>49</v>
      </c>
      <c r="B19" s="50" t="s">
        <v>34</v>
      </c>
      <c r="C19" s="51">
        <f>SUM('Stavební rozpočet'!AG12:AG193)</f>
        <v>0</v>
      </c>
      <c r="D19" s="126" t="s">
        <v>49</v>
      </c>
      <c r="E19" s="127"/>
      <c r="F19" s="52" t="s">
        <v>49</v>
      </c>
      <c r="G19" s="126" t="s">
        <v>527</v>
      </c>
      <c r="H19" s="127"/>
      <c r="I19" s="52">
        <f>VORN!I26</f>
        <v>0</v>
      </c>
    </row>
    <row r="20" spans="1:9" ht="15.75" x14ac:dyDescent="0.25">
      <c r="A20" s="118" t="s">
        <v>528</v>
      </c>
      <c r="B20" s="119"/>
      <c r="C20" s="51">
        <f>SUM('Stavební rozpočet'!AH12:AH193)</f>
        <v>0</v>
      </c>
      <c r="D20" s="126" t="s">
        <v>49</v>
      </c>
      <c r="E20" s="127"/>
      <c r="F20" s="52" t="s">
        <v>49</v>
      </c>
      <c r="G20" s="126" t="s">
        <v>49</v>
      </c>
      <c r="H20" s="127"/>
      <c r="I20" s="52" t="s">
        <v>49</v>
      </c>
    </row>
    <row r="21" spans="1:9" ht="15.75" x14ac:dyDescent="0.25">
      <c r="A21" s="133" t="s">
        <v>529</v>
      </c>
      <c r="B21" s="134"/>
      <c r="C21" s="54">
        <f>SUM('Stavební rozpočet'!Z12:Z193)</f>
        <v>0</v>
      </c>
      <c r="D21" s="128" t="s">
        <v>49</v>
      </c>
      <c r="E21" s="129"/>
      <c r="F21" s="55" t="s">
        <v>49</v>
      </c>
      <c r="G21" s="128" t="s">
        <v>49</v>
      </c>
      <c r="H21" s="129"/>
      <c r="I21" s="55" t="s">
        <v>49</v>
      </c>
    </row>
    <row r="22" spans="1:9" ht="16.5" customHeight="1" x14ac:dyDescent="0.25">
      <c r="A22" s="135" t="s">
        <v>530</v>
      </c>
      <c r="B22" s="131"/>
      <c r="C22" s="56">
        <f>ROUND(SUM(C14:C21),0)</f>
        <v>0</v>
      </c>
      <c r="D22" s="130" t="s">
        <v>531</v>
      </c>
      <c r="E22" s="131"/>
      <c r="F22" s="56">
        <f>SUM(F14:F21)</f>
        <v>0</v>
      </c>
      <c r="G22" s="130" t="s">
        <v>532</v>
      </c>
      <c r="H22" s="131"/>
      <c r="I22" s="56">
        <f>ROUND(C22*(5/100),2)</f>
        <v>0</v>
      </c>
    </row>
    <row r="23" spans="1:9" ht="15.75" x14ac:dyDescent="0.25">
      <c r="D23" s="118" t="s">
        <v>533</v>
      </c>
      <c r="E23" s="119"/>
      <c r="F23" s="57">
        <v>0</v>
      </c>
      <c r="G23" s="132" t="s">
        <v>534</v>
      </c>
      <c r="H23" s="119"/>
      <c r="I23" s="51">
        <v>0</v>
      </c>
    </row>
    <row r="24" spans="1:9" ht="15.75" x14ac:dyDescent="0.25">
      <c r="G24" s="118" t="s">
        <v>535</v>
      </c>
      <c r="H24" s="119"/>
      <c r="I24" s="54">
        <f>vorn_sum</f>
        <v>0</v>
      </c>
    </row>
    <row r="25" spans="1:9" ht="15.75" x14ac:dyDescent="0.25">
      <c r="G25" s="118" t="s">
        <v>536</v>
      </c>
      <c r="H25" s="119"/>
      <c r="I25" s="56">
        <v>0</v>
      </c>
    </row>
    <row r="27" spans="1:9" ht="15.75" x14ac:dyDescent="0.25">
      <c r="A27" s="120" t="s">
        <v>537</v>
      </c>
      <c r="B27" s="121"/>
      <c r="C27" s="58">
        <f>ROUND(SUM('Stavební rozpočet'!AJ12:AJ193),0)</f>
        <v>0</v>
      </c>
    </row>
    <row r="28" spans="1:9" ht="15.75" x14ac:dyDescent="0.25">
      <c r="A28" s="122" t="s">
        <v>538</v>
      </c>
      <c r="B28" s="123"/>
      <c r="C28" s="59">
        <f>ROUND(SUM('Stavební rozpočet'!AK12:AK193),0)</f>
        <v>0</v>
      </c>
      <c r="D28" s="124" t="s">
        <v>539</v>
      </c>
      <c r="E28" s="121"/>
      <c r="F28" s="58">
        <f>ROUND(C28*(12/100),2)</f>
        <v>0</v>
      </c>
      <c r="G28" s="124" t="s">
        <v>540</v>
      </c>
      <c r="H28" s="121"/>
      <c r="I28" s="58">
        <f>ROUND(SUM(C27:C29),0)</f>
        <v>0</v>
      </c>
    </row>
    <row r="29" spans="1:9" ht="15.75" x14ac:dyDescent="0.25">
      <c r="A29" s="122" t="s">
        <v>541</v>
      </c>
      <c r="B29" s="123"/>
      <c r="C29" s="59">
        <f>ROUND(SUM('Stavební rozpočet'!AL12:AL193)+(F22+I22+F23+I23+I24+I25),0)</f>
        <v>0</v>
      </c>
      <c r="D29" s="125" t="s">
        <v>542</v>
      </c>
      <c r="E29" s="123"/>
      <c r="F29" s="59">
        <f>ROUND(C29*(21/100),2)</f>
        <v>0</v>
      </c>
      <c r="G29" s="125" t="s">
        <v>543</v>
      </c>
      <c r="H29" s="123"/>
      <c r="I29" s="59">
        <f>ROUND(SUM(F28:F29)+I28,0)</f>
        <v>0</v>
      </c>
    </row>
    <row r="31" spans="1:9" x14ac:dyDescent="0.25">
      <c r="A31" s="115" t="s">
        <v>544</v>
      </c>
      <c r="B31" s="107"/>
      <c r="C31" s="108"/>
      <c r="D31" s="106" t="s">
        <v>545</v>
      </c>
      <c r="E31" s="107"/>
      <c r="F31" s="108"/>
      <c r="G31" s="106" t="s">
        <v>546</v>
      </c>
      <c r="H31" s="107"/>
      <c r="I31" s="108"/>
    </row>
    <row r="32" spans="1:9" x14ac:dyDescent="0.25">
      <c r="A32" s="116" t="s">
        <v>49</v>
      </c>
      <c r="B32" s="110"/>
      <c r="C32" s="111"/>
      <c r="D32" s="109" t="s">
        <v>49</v>
      </c>
      <c r="E32" s="110"/>
      <c r="F32" s="111"/>
      <c r="G32" s="109" t="s">
        <v>49</v>
      </c>
      <c r="H32" s="110"/>
      <c r="I32" s="111"/>
    </row>
    <row r="33" spans="1:9" x14ac:dyDescent="0.25">
      <c r="A33" s="116" t="s">
        <v>49</v>
      </c>
      <c r="B33" s="110"/>
      <c r="C33" s="111"/>
      <c r="D33" s="109" t="s">
        <v>49</v>
      </c>
      <c r="E33" s="110"/>
      <c r="F33" s="111"/>
      <c r="G33" s="109" t="s">
        <v>49</v>
      </c>
      <c r="H33" s="110"/>
      <c r="I33" s="111"/>
    </row>
    <row r="34" spans="1:9" x14ac:dyDescent="0.25">
      <c r="A34" s="116" t="s">
        <v>49</v>
      </c>
      <c r="B34" s="110"/>
      <c r="C34" s="111"/>
      <c r="D34" s="109" t="s">
        <v>49</v>
      </c>
      <c r="E34" s="110"/>
      <c r="F34" s="111"/>
      <c r="G34" s="109" t="s">
        <v>49</v>
      </c>
      <c r="H34" s="110"/>
      <c r="I34" s="111"/>
    </row>
    <row r="35" spans="1:9" x14ac:dyDescent="0.25">
      <c r="A35" s="117" t="s">
        <v>547</v>
      </c>
      <c r="B35" s="113"/>
      <c r="C35" s="114"/>
      <c r="D35" s="112" t="s">
        <v>547</v>
      </c>
      <c r="E35" s="113"/>
      <c r="F35" s="114"/>
      <c r="G35" s="112" t="s">
        <v>547</v>
      </c>
      <c r="H35" s="113"/>
      <c r="I35" s="114"/>
    </row>
    <row r="36" spans="1:9" x14ac:dyDescent="0.25">
      <c r="A36" s="60" t="s">
        <v>496</v>
      </c>
    </row>
    <row r="37" spans="1:9" ht="12.75" customHeight="1" x14ac:dyDescent="0.25">
      <c r="A37" s="69" t="s">
        <v>49</v>
      </c>
      <c r="B37" s="70"/>
      <c r="C37" s="70"/>
      <c r="D37" s="70"/>
      <c r="E37" s="70"/>
      <c r="F37" s="70"/>
      <c r="G37" s="70"/>
      <c r="H37" s="70"/>
      <c r="I37" s="70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41" t="s">
        <v>548</v>
      </c>
      <c r="B1" s="95"/>
      <c r="C1" s="95"/>
      <c r="D1" s="95"/>
      <c r="E1" s="95"/>
      <c r="F1" s="95"/>
      <c r="G1" s="95"/>
      <c r="H1" s="95"/>
      <c r="I1" s="95"/>
    </row>
    <row r="2" spans="1:9" x14ac:dyDescent="0.25">
      <c r="A2" s="96" t="s">
        <v>1</v>
      </c>
      <c r="B2" s="88"/>
      <c r="C2" s="100" t="str">
        <f>'Stavební rozpočet'!C2</f>
        <v>Stevbní úpravy a změna užívání doplňkové stavby garáží (skladů)</v>
      </c>
      <c r="D2" s="101"/>
      <c r="E2" s="87" t="s">
        <v>4</v>
      </c>
      <c r="F2" s="87" t="str">
        <f>'Stavební rozpočet'!I2</f>
        <v>SOŠ a SOÚ Kladno</v>
      </c>
      <c r="G2" s="88"/>
      <c r="H2" s="87" t="s">
        <v>505</v>
      </c>
      <c r="I2" s="89" t="s">
        <v>49</v>
      </c>
    </row>
    <row r="3" spans="1:9" ht="15" customHeight="1" x14ac:dyDescent="0.25">
      <c r="A3" s="97"/>
      <c r="B3" s="70"/>
      <c r="C3" s="102"/>
      <c r="D3" s="102"/>
      <c r="E3" s="70"/>
      <c r="F3" s="70"/>
      <c r="G3" s="70"/>
      <c r="H3" s="70"/>
      <c r="I3" s="90"/>
    </row>
    <row r="4" spans="1:9" x14ac:dyDescent="0.25">
      <c r="A4" s="98" t="s">
        <v>6</v>
      </c>
      <c r="B4" s="70"/>
      <c r="C4" s="69" t="str">
        <f>'Stavební rozpočet'!C4</f>
        <v xml:space="preserve"> </v>
      </c>
      <c r="D4" s="70"/>
      <c r="E4" s="69" t="s">
        <v>8</v>
      </c>
      <c r="F4" s="69" t="str">
        <f>'Stavební rozpočet'!I4</f>
        <v>Atelér Civilista s.r.o.</v>
      </c>
      <c r="G4" s="70"/>
      <c r="H4" s="69" t="s">
        <v>505</v>
      </c>
      <c r="I4" s="90" t="s">
        <v>49</v>
      </c>
    </row>
    <row r="5" spans="1:9" ht="15" customHeight="1" x14ac:dyDescent="0.25">
      <c r="A5" s="97"/>
      <c r="B5" s="70"/>
      <c r="C5" s="70"/>
      <c r="D5" s="70"/>
      <c r="E5" s="70"/>
      <c r="F5" s="70"/>
      <c r="G5" s="70"/>
      <c r="H5" s="70"/>
      <c r="I5" s="90"/>
    </row>
    <row r="6" spans="1:9" x14ac:dyDescent="0.25">
      <c r="A6" s="98" t="s">
        <v>10</v>
      </c>
      <c r="B6" s="70"/>
      <c r="C6" s="69" t="str">
        <f>'Stavební rozpočet'!C6</f>
        <v>nám.Edvarda Beneše 23,53, Kladno, parc. č.543, k.ú.Kladno</v>
      </c>
      <c r="D6" s="70"/>
      <c r="E6" s="69" t="s">
        <v>13</v>
      </c>
      <c r="F6" s="69" t="str">
        <f>'Stavební rozpočet'!I6</f>
        <v>Dle výběrového řízení</v>
      </c>
      <c r="G6" s="70"/>
      <c r="H6" s="69" t="s">
        <v>505</v>
      </c>
      <c r="I6" s="90" t="s">
        <v>49</v>
      </c>
    </row>
    <row r="7" spans="1:9" ht="15" customHeight="1" x14ac:dyDescent="0.25">
      <c r="A7" s="97"/>
      <c r="B7" s="70"/>
      <c r="C7" s="70"/>
      <c r="D7" s="70"/>
      <c r="E7" s="70"/>
      <c r="F7" s="70"/>
      <c r="G7" s="70"/>
      <c r="H7" s="70"/>
      <c r="I7" s="90"/>
    </row>
    <row r="8" spans="1:9" x14ac:dyDescent="0.25">
      <c r="A8" s="98" t="s">
        <v>7</v>
      </c>
      <c r="B8" s="70"/>
      <c r="C8" s="69" t="str">
        <f>'Stavební rozpočet'!G4</f>
        <v xml:space="preserve"> </v>
      </c>
      <c r="D8" s="70"/>
      <c r="E8" s="69" t="s">
        <v>12</v>
      </c>
      <c r="F8" s="69" t="str">
        <f>'Stavební rozpočet'!G6</f>
        <v xml:space="preserve"> </v>
      </c>
      <c r="G8" s="70"/>
      <c r="H8" s="70" t="s">
        <v>506</v>
      </c>
      <c r="I8" s="142">
        <v>105</v>
      </c>
    </row>
    <row r="9" spans="1:9" x14ac:dyDescent="0.25">
      <c r="A9" s="97"/>
      <c r="B9" s="70"/>
      <c r="C9" s="70"/>
      <c r="D9" s="70"/>
      <c r="E9" s="70"/>
      <c r="F9" s="70"/>
      <c r="G9" s="70"/>
      <c r="H9" s="70"/>
      <c r="I9" s="90"/>
    </row>
    <row r="10" spans="1:9" x14ac:dyDescent="0.25">
      <c r="A10" s="98" t="s">
        <v>15</v>
      </c>
      <c r="B10" s="70"/>
      <c r="C10" s="69" t="str">
        <f>'Stavební rozpočet'!C8</f>
        <v xml:space="preserve"> </v>
      </c>
      <c r="D10" s="70"/>
      <c r="E10" s="69" t="s">
        <v>18</v>
      </c>
      <c r="F10" s="69" t="str">
        <f>'Stavební rozpočet'!I8</f>
        <v> </v>
      </c>
      <c r="G10" s="70"/>
      <c r="H10" s="70" t="s">
        <v>507</v>
      </c>
      <c r="I10" s="104" t="str">
        <f>'Stavební rozpočet'!G8</f>
        <v>01.08.2024</v>
      </c>
    </row>
    <row r="11" spans="1:9" x14ac:dyDescent="0.25">
      <c r="A11" s="140"/>
      <c r="B11" s="105"/>
      <c r="C11" s="105"/>
      <c r="D11" s="105"/>
      <c r="E11" s="105"/>
      <c r="F11" s="105"/>
      <c r="G11" s="105"/>
      <c r="H11" s="105"/>
      <c r="I11" s="136"/>
    </row>
    <row r="13" spans="1:9" ht="15.75" x14ac:dyDescent="0.25">
      <c r="A13" s="152" t="s">
        <v>549</v>
      </c>
      <c r="B13" s="152"/>
      <c r="C13" s="152"/>
      <c r="D13" s="152"/>
      <c r="E13" s="152"/>
    </row>
    <row r="14" spans="1:9" x14ac:dyDescent="0.25">
      <c r="A14" s="153" t="s">
        <v>550</v>
      </c>
      <c r="B14" s="154"/>
      <c r="C14" s="154"/>
      <c r="D14" s="154"/>
      <c r="E14" s="155"/>
      <c r="F14" s="61" t="s">
        <v>551</v>
      </c>
      <c r="G14" s="61" t="s">
        <v>552</v>
      </c>
      <c r="H14" s="61" t="s">
        <v>553</v>
      </c>
      <c r="I14" s="61" t="s">
        <v>551</v>
      </c>
    </row>
    <row r="15" spans="1:9" x14ac:dyDescent="0.25">
      <c r="A15" s="159" t="s">
        <v>517</v>
      </c>
      <c r="B15" s="160"/>
      <c r="C15" s="160"/>
      <c r="D15" s="160"/>
      <c r="E15" s="161"/>
      <c r="F15" s="62">
        <v>0</v>
      </c>
      <c r="G15" s="63" t="s">
        <v>49</v>
      </c>
      <c r="H15" s="63" t="s">
        <v>49</v>
      </c>
      <c r="I15" s="62">
        <f>F15</f>
        <v>0</v>
      </c>
    </row>
    <row r="16" spans="1:9" x14ac:dyDescent="0.25">
      <c r="A16" s="159" t="s">
        <v>519</v>
      </c>
      <c r="B16" s="160"/>
      <c r="C16" s="160"/>
      <c r="D16" s="160"/>
      <c r="E16" s="161"/>
      <c r="F16" s="62">
        <v>0</v>
      </c>
      <c r="G16" s="63" t="s">
        <v>49</v>
      </c>
      <c r="H16" s="63" t="s">
        <v>49</v>
      </c>
      <c r="I16" s="62">
        <f>F16</f>
        <v>0</v>
      </c>
    </row>
    <row r="17" spans="1:9" x14ac:dyDescent="0.25">
      <c r="A17" s="156" t="s">
        <v>522</v>
      </c>
      <c r="B17" s="157"/>
      <c r="C17" s="157"/>
      <c r="D17" s="157"/>
      <c r="E17" s="158"/>
      <c r="F17" s="64">
        <v>0</v>
      </c>
      <c r="G17" s="65" t="s">
        <v>49</v>
      </c>
      <c r="H17" s="65" t="s">
        <v>49</v>
      </c>
      <c r="I17" s="64">
        <f>F17</f>
        <v>0</v>
      </c>
    </row>
    <row r="18" spans="1:9" x14ac:dyDescent="0.25">
      <c r="A18" s="143" t="s">
        <v>554</v>
      </c>
      <c r="B18" s="144"/>
      <c r="C18" s="144"/>
      <c r="D18" s="144"/>
      <c r="E18" s="145"/>
      <c r="F18" s="66" t="s">
        <v>49</v>
      </c>
      <c r="G18" s="67" t="s">
        <v>49</v>
      </c>
      <c r="H18" s="67" t="s">
        <v>49</v>
      </c>
      <c r="I18" s="68">
        <f>SUM(I15:I17)</f>
        <v>0</v>
      </c>
    </row>
    <row r="20" spans="1:9" x14ac:dyDescent="0.25">
      <c r="A20" s="153" t="s">
        <v>514</v>
      </c>
      <c r="B20" s="154"/>
      <c r="C20" s="154"/>
      <c r="D20" s="154"/>
      <c r="E20" s="155"/>
      <c r="F20" s="61" t="s">
        <v>551</v>
      </c>
      <c r="G20" s="61" t="s">
        <v>552</v>
      </c>
      <c r="H20" s="61" t="s">
        <v>553</v>
      </c>
      <c r="I20" s="61" t="s">
        <v>551</v>
      </c>
    </row>
    <row r="21" spans="1:9" x14ac:dyDescent="0.25">
      <c r="A21" s="159" t="s">
        <v>518</v>
      </c>
      <c r="B21" s="160"/>
      <c r="C21" s="160"/>
      <c r="D21" s="160"/>
      <c r="E21" s="161"/>
      <c r="F21" s="62">
        <v>0</v>
      </c>
      <c r="G21" s="63" t="s">
        <v>49</v>
      </c>
      <c r="H21" s="63" t="s">
        <v>49</v>
      </c>
      <c r="I21" s="62">
        <f t="shared" ref="I21:I26" si="0">F21</f>
        <v>0</v>
      </c>
    </row>
    <row r="22" spans="1:9" x14ac:dyDescent="0.25">
      <c r="A22" s="159" t="s">
        <v>520</v>
      </c>
      <c r="B22" s="160"/>
      <c r="C22" s="160"/>
      <c r="D22" s="160"/>
      <c r="E22" s="161"/>
      <c r="F22" s="62">
        <v>0</v>
      </c>
      <c r="G22" s="63" t="s">
        <v>49</v>
      </c>
      <c r="H22" s="63" t="s">
        <v>49</v>
      </c>
      <c r="I22" s="62">
        <f t="shared" si="0"/>
        <v>0</v>
      </c>
    </row>
    <row r="23" spans="1:9" x14ac:dyDescent="0.25">
      <c r="A23" s="159" t="s">
        <v>523</v>
      </c>
      <c r="B23" s="160"/>
      <c r="C23" s="160"/>
      <c r="D23" s="160"/>
      <c r="E23" s="161"/>
      <c r="F23" s="62">
        <v>0</v>
      </c>
      <c r="G23" s="63" t="s">
        <v>49</v>
      </c>
      <c r="H23" s="63" t="s">
        <v>49</v>
      </c>
      <c r="I23" s="62">
        <f t="shared" si="0"/>
        <v>0</v>
      </c>
    </row>
    <row r="24" spans="1:9" x14ac:dyDescent="0.25">
      <c r="A24" s="159" t="s">
        <v>524</v>
      </c>
      <c r="B24" s="160"/>
      <c r="C24" s="160"/>
      <c r="D24" s="160"/>
      <c r="E24" s="161"/>
      <c r="F24" s="62">
        <v>0</v>
      </c>
      <c r="G24" s="63" t="s">
        <v>49</v>
      </c>
      <c r="H24" s="63" t="s">
        <v>49</v>
      </c>
      <c r="I24" s="62">
        <f t="shared" si="0"/>
        <v>0</v>
      </c>
    </row>
    <row r="25" spans="1:9" x14ac:dyDescent="0.25">
      <c r="A25" s="159" t="s">
        <v>526</v>
      </c>
      <c r="B25" s="160"/>
      <c r="C25" s="160"/>
      <c r="D25" s="160"/>
      <c r="E25" s="161"/>
      <c r="F25" s="62">
        <v>0</v>
      </c>
      <c r="G25" s="63" t="s">
        <v>49</v>
      </c>
      <c r="H25" s="63" t="s">
        <v>49</v>
      </c>
      <c r="I25" s="62">
        <f t="shared" si="0"/>
        <v>0</v>
      </c>
    </row>
    <row r="26" spans="1:9" x14ac:dyDescent="0.25">
      <c r="A26" s="156" t="s">
        <v>527</v>
      </c>
      <c r="B26" s="157"/>
      <c r="C26" s="157"/>
      <c r="D26" s="157"/>
      <c r="E26" s="158"/>
      <c r="F26" s="64">
        <v>0</v>
      </c>
      <c r="G26" s="65" t="s">
        <v>49</v>
      </c>
      <c r="H26" s="65" t="s">
        <v>49</v>
      </c>
      <c r="I26" s="64">
        <f t="shared" si="0"/>
        <v>0</v>
      </c>
    </row>
    <row r="27" spans="1:9" x14ac:dyDescent="0.25">
      <c r="A27" s="143" t="s">
        <v>555</v>
      </c>
      <c r="B27" s="144"/>
      <c r="C27" s="144"/>
      <c r="D27" s="144"/>
      <c r="E27" s="145"/>
      <c r="F27" s="66" t="s">
        <v>49</v>
      </c>
      <c r="G27" s="68">
        <v>5</v>
      </c>
      <c r="H27" s="68">
        <f>'Krycí list rozpočtu'!C22</f>
        <v>0</v>
      </c>
      <c r="I27" s="68">
        <f>ROUND((G27/100)*H27,2)</f>
        <v>0</v>
      </c>
    </row>
    <row r="29" spans="1:9" ht="15.75" x14ac:dyDescent="0.25">
      <c r="A29" s="146" t="s">
        <v>556</v>
      </c>
      <c r="B29" s="147"/>
      <c r="C29" s="147"/>
      <c r="D29" s="147"/>
      <c r="E29" s="148"/>
      <c r="F29" s="149">
        <f>I18+I27</f>
        <v>0</v>
      </c>
      <c r="G29" s="150"/>
      <c r="H29" s="150"/>
      <c r="I29" s="151"/>
    </row>
    <row r="33" spans="1:9" ht="15.75" x14ac:dyDescent="0.25">
      <c r="A33" s="152" t="s">
        <v>557</v>
      </c>
      <c r="B33" s="152"/>
      <c r="C33" s="152"/>
      <c r="D33" s="152"/>
      <c r="E33" s="152"/>
    </row>
    <row r="34" spans="1:9" x14ac:dyDescent="0.25">
      <c r="A34" s="153" t="s">
        <v>558</v>
      </c>
      <c r="B34" s="154"/>
      <c r="C34" s="154"/>
      <c r="D34" s="154"/>
      <c r="E34" s="155"/>
      <c r="F34" s="61" t="s">
        <v>551</v>
      </c>
      <c r="G34" s="61" t="s">
        <v>552</v>
      </c>
      <c r="H34" s="61" t="s">
        <v>553</v>
      </c>
      <c r="I34" s="61" t="s">
        <v>551</v>
      </c>
    </row>
    <row r="35" spans="1:9" x14ac:dyDescent="0.25">
      <c r="A35" s="156" t="s">
        <v>49</v>
      </c>
      <c r="B35" s="157"/>
      <c r="C35" s="157"/>
      <c r="D35" s="157"/>
      <c r="E35" s="158"/>
      <c r="F35" s="64">
        <v>0</v>
      </c>
      <c r="G35" s="65" t="s">
        <v>49</v>
      </c>
      <c r="H35" s="65" t="s">
        <v>49</v>
      </c>
      <c r="I35" s="64">
        <f>F35</f>
        <v>0</v>
      </c>
    </row>
    <row r="36" spans="1:9" x14ac:dyDescent="0.25">
      <c r="A36" s="143" t="s">
        <v>559</v>
      </c>
      <c r="B36" s="144"/>
      <c r="C36" s="144"/>
      <c r="D36" s="144"/>
      <c r="E36" s="145"/>
      <c r="F36" s="66" t="s">
        <v>49</v>
      </c>
      <c r="G36" s="67" t="s">
        <v>49</v>
      </c>
      <c r="H36" s="67" t="s">
        <v>49</v>
      </c>
      <c r="I36" s="68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Stavební rozpočet - součet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Jiří Tesař</cp:lastModifiedBy>
  <dcterms:created xsi:type="dcterms:W3CDTF">2021-06-10T20:06:38Z</dcterms:created>
  <dcterms:modified xsi:type="dcterms:W3CDTF">2024-08-23T10:07:02Z</dcterms:modified>
</cp:coreProperties>
</file>